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0" windowWidth="9720" windowHeight="7260" tabRatio="749" activeTab="2"/>
  </bookViews>
  <sheets>
    <sheet name="Лист3" sheetId="1" r:id="rId1"/>
    <sheet name="tab scurt" sheetId="2" r:id="rId2"/>
    <sheet name="diagram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<sst xmlns="http://schemas.openxmlformats.org/spreadsheetml/2006/main" count="131" uniqueCount="82">
  <si>
    <t>Nr. d/o</t>
  </si>
  <si>
    <t>Denumirea</t>
  </si>
  <si>
    <t>2</t>
  </si>
  <si>
    <t>4</t>
  </si>
  <si>
    <t>6</t>
  </si>
  <si>
    <t>8</t>
  </si>
  <si>
    <t>10</t>
  </si>
  <si>
    <t>inclusiv:</t>
  </si>
  <si>
    <t>S.A."Business incubator Alfa"</t>
  </si>
  <si>
    <t>S.A."Guguţă"</t>
  </si>
  <si>
    <t>S.A."Mina din Chişinău"</t>
  </si>
  <si>
    <t>S.A."Combinatul auto nr.4"</t>
  </si>
  <si>
    <t>S.A."Edilitate"</t>
  </si>
  <si>
    <t>S.A."Moda"</t>
  </si>
  <si>
    <t>S.A."Taxi-service"</t>
  </si>
  <si>
    <t>S.A."Agenţia municipală de ipotecă din Chişinău"</t>
  </si>
  <si>
    <t>S.A."Franzeluţa"</t>
  </si>
  <si>
    <t>Creanțe pe termen lung</t>
  </si>
  <si>
    <t>Imobilizări necorporale</t>
  </si>
  <si>
    <t>Imobilizări corporale în curs de execuție</t>
  </si>
  <si>
    <t>Mijloace fixe</t>
  </si>
  <si>
    <t>Terenuri</t>
  </si>
  <si>
    <t>Investiții imobiliare</t>
  </si>
  <si>
    <t>Alte active imobilizate</t>
  </si>
  <si>
    <t>Stocuri</t>
  </si>
  <si>
    <t xml:space="preserve">Creanțe </t>
  </si>
  <si>
    <t>Numerar</t>
  </si>
  <si>
    <t>Alte active circulante</t>
  </si>
  <si>
    <t>N d/o</t>
  </si>
  <si>
    <t>Grupurile de active</t>
  </si>
  <si>
    <t>Abaterea absolută</t>
  </si>
  <si>
    <t>Suma, mii lei</t>
  </si>
  <si>
    <t>Cota, %</t>
  </si>
  <si>
    <t>Cota, p.p.</t>
  </si>
  <si>
    <t>6=4-2</t>
  </si>
  <si>
    <t>7=5-3</t>
  </si>
  <si>
    <t>Total active</t>
  </si>
  <si>
    <t>Analiza structurii activelor S.A.</t>
  </si>
  <si>
    <t>Investiții imobiliare și financiare</t>
  </si>
  <si>
    <t>La situația din 01.01.2016</t>
  </si>
  <si>
    <t>La situația din 31.12.2016</t>
  </si>
  <si>
    <t>11</t>
  </si>
  <si>
    <t>12</t>
  </si>
  <si>
    <t>13</t>
  </si>
  <si>
    <t xml:space="preserve">Total                </t>
  </si>
  <si>
    <t xml:space="preserve">total active circulante   </t>
  </si>
  <si>
    <t xml:space="preserve">alte active circulante   </t>
  </si>
  <si>
    <t xml:space="preserve">numerar       </t>
  </si>
  <si>
    <t xml:space="preserve">creanțe     </t>
  </si>
  <si>
    <t xml:space="preserve">stocuri       </t>
  </si>
  <si>
    <t xml:space="preserve">total active imobilizate </t>
  </si>
  <si>
    <t xml:space="preserve">investitii imobiliare  </t>
  </si>
  <si>
    <t xml:space="preserve">investiții financiare </t>
  </si>
  <si>
    <t xml:space="preserve">alte active imobilizate </t>
  </si>
  <si>
    <t xml:space="preserve">terenuri </t>
  </si>
  <si>
    <t xml:space="preserve">mijloace fixe </t>
  </si>
  <si>
    <t xml:space="preserve">imobilizări corporale in curs de execuție </t>
  </si>
  <si>
    <t xml:space="preserve">imobilizări necorporale </t>
  </si>
  <si>
    <t xml:space="preserve">investitii financiare curente </t>
  </si>
  <si>
    <t>investiții financiare</t>
  </si>
  <si>
    <t>imobilizări corporale în curs de execuție</t>
  </si>
  <si>
    <t xml:space="preserve">Șef adjunct  al Direcției                                                                                                                           Valentina Văzdăuțan </t>
  </si>
  <si>
    <t xml:space="preserve">creanțe pe termen lung </t>
  </si>
  <si>
    <t>S.A. "Speranța-Unic"</t>
  </si>
  <si>
    <t>S.A. "Autocomtrans"</t>
  </si>
  <si>
    <t>Informație privind structura activelor  S.A.</t>
  </si>
  <si>
    <t>3=12+17</t>
  </si>
  <si>
    <t>12=sum(4:11)</t>
  </si>
  <si>
    <t>18=27+33</t>
  </si>
  <si>
    <t>S.A. "Apă-Canal Chișinău"</t>
  </si>
  <si>
    <t xml:space="preserve">TOTAL  </t>
  </si>
  <si>
    <t>S.A."SA "Comb.de produse cerealiere din Chișinau"</t>
  </si>
  <si>
    <t>Anexa 6.1</t>
  </si>
  <si>
    <t>(mii lei)</t>
  </si>
  <si>
    <t>33=sum (28:32)</t>
  </si>
  <si>
    <t>17=sum   (13:16)</t>
  </si>
  <si>
    <t xml:space="preserve">total active circu-lante </t>
  </si>
  <si>
    <t>La situația din 31.12.2017</t>
  </si>
  <si>
    <t xml:space="preserve">Șef al Direcției                                                                                                                            </t>
  </si>
  <si>
    <t>Olga Ursu</t>
  </si>
  <si>
    <t xml:space="preserve">Investiții financiare   </t>
  </si>
  <si>
    <t>27=sum  (19:26)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</si>
</sst>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sz val="8"/>
      <name val="Arial"/>
      <family val="0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88" fontId="7" fillId="32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188" fontId="2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88" fontId="2" fillId="0" borderId="15" xfId="0" applyNumberFormat="1" applyFont="1" applyFill="1" applyBorder="1" applyAlignment="1">
      <alignment/>
    </xf>
    <xf numFmtId="188" fontId="7" fillId="32" borderId="15" xfId="0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88" fontId="3" fillId="0" borderId="18" xfId="0" applyNumberFormat="1" applyFont="1" applyFill="1" applyBorder="1" applyAlignment="1">
      <alignment/>
    </xf>
    <xf numFmtId="188" fontId="3" fillId="0" borderId="19" xfId="0" applyNumberFormat="1" applyFont="1" applyFill="1" applyBorder="1" applyAlignment="1">
      <alignment/>
    </xf>
    <xf numFmtId="188" fontId="3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vertical="center" wrapText="1"/>
    </xf>
    <xf numFmtId="0" fontId="2" fillId="0" borderId="23" xfId="0" applyFont="1" applyBorder="1" applyAlignment="1">
      <alignment/>
    </xf>
    <xf numFmtId="49" fontId="2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88" fontId="3" fillId="0" borderId="21" xfId="0" applyNumberFormat="1" applyFont="1" applyFill="1" applyBorder="1" applyAlignment="1">
      <alignment/>
    </xf>
    <xf numFmtId="188" fontId="3" fillId="0" borderId="25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29" xfId="0" applyNumberFormat="1" applyFont="1" applyFill="1" applyBorder="1" applyAlignment="1">
      <alignment/>
    </xf>
    <xf numFmtId="188" fontId="3" fillId="0" borderId="27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188" fontId="3" fillId="0" borderId="30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" fillId="0" borderId="25" xfId="0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vertical="center" textRotation="90" wrapText="1"/>
    </xf>
    <xf numFmtId="49" fontId="3" fillId="0" borderId="34" xfId="0" applyNumberFormat="1" applyFont="1" applyFill="1" applyBorder="1" applyAlignment="1">
      <alignment horizontal="center" vertical="center" textRotation="90" wrapText="1"/>
    </xf>
    <xf numFmtId="49" fontId="3" fillId="0" borderId="35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3" fillId="0" borderId="36" xfId="0" applyFont="1" applyFill="1" applyBorder="1" applyAlignment="1">
      <alignment horizontal="center"/>
    </xf>
    <xf numFmtId="188" fontId="3" fillId="0" borderId="31" xfId="0" applyNumberFormat="1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38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/>
    </xf>
    <xf numFmtId="188" fontId="0" fillId="0" borderId="0" xfId="0" applyNumberFormat="1" applyFill="1" applyAlignment="1">
      <alignment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distributed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.08175"/>
          <c:w val="0.67275"/>
          <c:h val="0.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diagram!$B$26:$B$34</c:f>
              <c:strCache/>
            </c:strRef>
          </c:cat>
          <c:val>
            <c:numRef>
              <c:f>diagram!$C$26:$C$34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diagram!$B$26:$B$34</c:f>
              <c:strCache/>
            </c:strRef>
          </c:cat>
          <c:val>
            <c:numRef>
              <c:f>diagram!$D$26:$D$34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15</xdr:row>
      <xdr:rowOff>95250</xdr:rowOff>
    </xdr:from>
    <xdr:to>
      <xdr:col>16</xdr:col>
      <xdr:colOff>104775</xdr:colOff>
      <xdr:row>38</xdr:row>
      <xdr:rowOff>123825</xdr:rowOff>
    </xdr:to>
    <xdr:graphicFrame>
      <xdr:nvGraphicFramePr>
        <xdr:cNvPr id="1" name="Chart 6"/>
        <xdr:cNvGraphicFramePr/>
      </xdr:nvGraphicFramePr>
      <xdr:xfrm>
        <a:off x="6534150" y="3419475"/>
        <a:ext cx="5581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7">
      <pane xSplit="3" ySplit="5" topLeftCell="O21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L10" sqref="L10"/>
    </sheetView>
  </sheetViews>
  <sheetFormatPr defaultColWidth="9.140625" defaultRowHeight="12.75"/>
  <cols>
    <col min="1" max="1" width="5.140625" style="11" customWidth="1"/>
    <col min="2" max="2" width="23.421875" style="11" customWidth="1"/>
    <col min="3" max="3" width="10.57421875" style="11" customWidth="1"/>
    <col min="4" max="4" width="7.28125" style="11" customWidth="1"/>
    <col min="5" max="5" width="8.8515625" style="11" customWidth="1"/>
    <col min="6" max="6" width="10.8515625" style="11" customWidth="1"/>
    <col min="7" max="7" width="8.57421875" style="11" customWidth="1"/>
    <col min="8" max="8" width="7.00390625" style="11" customWidth="1"/>
    <col min="9" max="9" width="8.140625" style="11" customWidth="1"/>
    <col min="10" max="10" width="8.8515625" style="11" customWidth="1"/>
    <col min="11" max="11" width="8.57421875" style="11" customWidth="1"/>
    <col min="12" max="12" width="10.8515625" style="11" customWidth="1"/>
    <col min="13" max="13" width="9.57421875" style="11" customWidth="1"/>
    <col min="14" max="14" width="9.7109375" style="11" customWidth="1"/>
    <col min="15" max="15" width="9.57421875" style="11" customWidth="1"/>
    <col min="16" max="16" width="7.28125" style="11" customWidth="1"/>
    <col min="17" max="17" width="9.7109375" style="11" customWidth="1"/>
    <col min="18" max="18" width="10.421875" style="11" customWidth="1"/>
    <col min="19" max="19" width="7.7109375" style="11" customWidth="1"/>
    <col min="20" max="20" width="9.00390625" style="11" customWidth="1"/>
    <col min="21" max="21" width="10.7109375" style="11" customWidth="1"/>
    <col min="22" max="22" width="8.57421875" style="11" customWidth="1"/>
    <col min="23" max="23" width="7.8515625" style="11" customWidth="1"/>
    <col min="24" max="24" width="8.8515625" style="11" customWidth="1"/>
    <col min="25" max="25" width="9.140625" style="11" customWidth="1"/>
    <col min="26" max="26" width="8.00390625" style="11" customWidth="1"/>
    <col min="27" max="27" width="11.00390625" style="11" customWidth="1"/>
    <col min="28" max="29" width="9.421875" style="11" customWidth="1"/>
    <col min="30" max="30" width="9.140625" style="11" customWidth="1"/>
    <col min="31" max="31" width="6.8515625" style="11" customWidth="1"/>
    <col min="32" max="32" width="7.7109375" style="11" customWidth="1"/>
    <col min="33" max="33" width="9.421875" style="11" customWidth="1"/>
    <col min="34" max="34" width="9.57421875" style="11" bestFit="1" customWidth="1"/>
    <col min="35" max="16384" width="9.140625" style="11" customWidth="1"/>
  </cols>
  <sheetData>
    <row r="1" ht="15.75">
      <c r="AD1" s="11" t="s">
        <v>72</v>
      </c>
    </row>
    <row r="4" spans="1:29" ht="25.5">
      <c r="A4" s="92" t="s">
        <v>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5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ht="16.5" thickBot="1">
      <c r="AD6" s="11" t="s">
        <v>73</v>
      </c>
    </row>
    <row r="7" spans="1:33" ht="30" customHeight="1" thickBot="1">
      <c r="A7" s="94" t="s">
        <v>0</v>
      </c>
      <c r="B7" s="97" t="s">
        <v>1</v>
      </c>
      <c r="C7" s="84" t="s">
        <v>40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R7" s="84" t="s">
        <v>77</v>
      </c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ht="23.25" customHeight="1" thickBot="1">
      <c r="A8" s="95"/>
      <c r="B8" s="98"/>
      <c r="C8" s="82" t="s">
        <v>44</v>
      </c>
      <c r="D8" s="87" t="s">
        <v>7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8"/>
      <c r="R8" s="82" t="s">
        <v>44</v>
      </c>
      <c r="S8" s="87" t="s">
        <v>7</v>
      </c>
      <c r="T8" s="89"/>
      <c r="U8" s="89"/>
      <c r="V8" s="89"/>
      <c r="W8" s="89"/>
      <c r="X8" s="89"/>
      <c r="Y8" s="89"/>
      <c r="Z8" s="90"/>
      <c r="AA8" s="89"/>
      <c r="AB8" s="89"/>
      <c r="AC8" s="89"/>
      <c r="AD8" s="89"/>
      <c r="AE8" s="89"/>
      <c r="AF8" s="89"/>
      <c r="AG8" s="88"/>
    </row>
    <row r="9" spans="1:33" ht="112.5" customHeight="1" thickBot="1">
      <c r="A9" s="96"/>
      <c r="B9" s="83"/>
      <c r="C9" s="83"/>
      <c r="D9" s="68" t="s">
        <v>57</v>
      </c>
      <c r="E9" s="69" t="s">
        <v>56</v>
      </c>
      <c r="F9" s="69" t="s">
        <v>55</v>
      </c>
      <c r="G9" s="69" t="s">
        <v>54</v>
      </c>
      <c r="H9" s="69" t="s">
        <v>53</v>
      </c>
      <c r="I9" s="69" t="s">
        <v>52</v>
      </c>
      <c r="J9" s="69" t="s">
        <v>51</v>
      </c>
      <c r="K9" s="70" t="s">
        <v>62</v>
      </c>
      <c r="L9" s="65" t="s">
        <v>50</v>
      </c>
      <c r="M9" s="68" t="s">
        <v>49</v>
      </c>
      <c r="N9" s="69" t="s">
        <v>48</v>
      </c>
      <c r="O9" s="69" t="s">
        <v>47</v>
      </c>
      <c r="P9" s="70" t="s">
        <v>46</v>
      </c>
      <c r="Q9" s="71" t="s">
        <v>45</v>
      </c>
      <c r="R9" s="83"/>
      <c r="S9" s="75" t="s">
        <v>57</v>
      </c>
      <c r="T9" s="76" t="s">
        <v>60</v>
      </c>
      <c r="U9" s="76" t="s">
        <v>55</v>
      </c>
      <c r="V9" s="76" t="s">
        <v>54</v>
      </c>
      <c r="W9" s="76" t="s">
        <v>53</v>
      </c>
      <c r="X9" s="76" t="s">
        <v>59</v>
      </c>
      <c r="Y9" s="77" t="s">
        <v>51</v>
      </c>
      <c r="Z9" s="78" t="s">
        <v>17</v>
      </c>
      <c r="AA9" s="79" t="s">
        <v>50</v>
      </c>
      <c r="AB9" s="68" t="s">
        <v>49</v>
      </c>
      <c r="AC9" s="69" t="s">
        <v>48</v>
      </c>
      <c r="AD9" s="69" t="s">
        <v>47</v>
      </c>
      <c r="AE9" s="69" t="s">
        <v>58</v>
      </c>
      <c r="AF9" s="70" t="s">
        <v>46</v>
      </c>
      <c r="AG9" s="59" t="s">
        <v>76</v>
      </c>
    </row>
    <row r="10" spans="1:33" s="23" customFormat="1" ht="31.5" customHeight="1" thickBot="1">
      <c r="A10" s="46">
        <v>1</v>
      </c>
      <c r="B10" s="64">
        <v>2</v>
      </c>
      <c r="C10" s="46" t="s">
        <v>66</v>
      </c>
      <c r="D10" s="4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53">
        <v>11</v>
      </c>
      <c r="L10" s="46" t="s">
        <v>67</v>
      </c>
      <c r="M10" s="41">
        <v>13</v>
      </c>
      <c r="N10" s="31">
        <v>14</v>
      </c>
      <c r="O10" s="31">
        <v>15</v>
      </c>
      <c r="P10" s="53">
        <v>16</v>
      </c>
      <c r="Q10" s="67" t="s">
        <v>75</v>
      </c>
      <c r="R10" s="46" t="s">
        <v>68</v>
      </c>
      <c r="S10" s="80">
        <v>19</v>
      </c>
      <c r="T10" s="31">
        <v>20</v>
      </c>
      <c r="U10" s="31">
        <v>21</v>
      </c>
      <c r="V10" s="31">
        <v>22</v>
      </c>
      <c r="W10" s="31">
        <v>23</v>
      </c>
      <c r="X10" s="31">
        <v>24</v>
      </c>
      <c r="Y10" s="53">
        <v>25</v>
      </c>
      <c r="Z10" s="53">
        <v>26</v>
      </c>
      <c r="AA10" s="67" t="s">
        <v>81</v>
      </c>
      <c r="AB10" s="41">
        <v>28</v>
      </c>
      <c r="AC10" s="31">
        <v>29</v>
      </c>
      <c r="AD10" s="31">
        <v>30</v>
      </c>
      <c r="AE10" s="31">
        <v>31</v>
      </c>
      <c r="AF10" s="53">
        <v>32</v>
      </c>
      <c r="AG10" s="67" t="s">
        <v>74</v>
      </c>
    </row>
    <row r="11" spans="1:33" ht="12.75" customHeight="1" hidden="1" thickBot="1">
      <c r="A11" s="47"/>
      <c r="B11" s="42"/>
      <c r="C11" s="37"/>
      <c r="D11" s="29"/>
      <c r="E11" s="29"/>
      <c r="F11" s="29"/>
      <c r="G11" s="29"/>
      <c r="H11" s="29"/>
      <c r="I11" s="29"/>
      <c r="J11" s="29"/>
      <c r="K11" s="54"/>
      <c r="L11" s="60"/>
      <c r="M11" s="58"/>
      <c r="N11" s="29"/>
      <c r="O11" s="30"/>
      <c r="P11" s="62"/>
      <c r="Q11" s="63"/>
      <c r="R11" s="60"/>
      <c r="S11" s="58"/>
      <c r="T11" s="29"/>
      <c r="U11" s="29"/>
      <c r="V11" s="29"/>
      <c r="W11" s="29"/>
      <c r="X11" s="29"/>
      <c r="Y11" s="54"/>
      <c r="Z11" s="73"/>
      <c r="AA11" s="60"/>
      <c r="AB11" s="58"/>
      <c r="AC11" s="29"/>
      <c r="AD11" s="30"/>
      <c r="AE11" s="30"/>
      <c r="AF11" s="30"/>
      <c r="AG11" s="66"/>
    </row>
    <row r="12" spans="1:33" ht="32.25" thickBot="1">
      <c r="A12" s="48">
        <v>1</v>
      </c>
      <c r="B12" s="43" t="s">
        <v>69</v>
      </c>
      <c r="C12" s="38">
        <f>L12+Q12</f>
        <v>1244494.7889999999</v>
      </c>
      <c r="D12" s="35">
        <f>409848/1000</f>
        <v>409.848</v>
      </c>
      <c r="E12" s="19">
        <v>74922.462</v>
      </c>
      <c r="F12" s="19">
        <f>889706476/1000</f>
        <v>889706.476</v>
      </c>
      <c r="G12" s="19">
        <f>157779/1000</f>
        <v>157.779</v>
      </c>
      <c r="H12" s="19">
        <f>2941860/1000</f>
        <v>2941.86</v>
      </c>
      <c r="I12" s="19">
        <v>1.35</v>
      </c>
      <c r="J12" s="55"/>
      <c r="K12" s="55"/>
      <c r="L12" s="39">
        <f>SUM(D12:K12)</f>
        <v>968139.775</v>
      </c>
      <c r="M12" s="35">
        <f>(34069473+10657210)/1000</f>
        <v>44726.683</v>
      </c>
      <c r="N12" s="25">
        <f>(201574937+4179+925141+397957+696482+22460351)/1000</f>
        <v>226059.047</v>
      </c>
      <c r="O12" s="19">
        <f>2926414/1000</f>
        <v>2926.414</v>
      </c>
      <c r="P12" s="55">
        <f>2642870/1000</f>
        <v>2642.87</v>
      </c>
      <c r="Q12" s="39">
        <f aca="true" t="shared" si="0" ref="Q12:Q25">SUM(M12:P12)</f>
        <v>276355.01399999997</v>
      </c>
      <c r="R12" s="39">
        <f>AA12+AG12</f>
        <v>1159373.6</v>
      </c>
      <c r="S12" s="35">
        <v>151.1</v>
      </c>
      <c r="T12" s="19">
        <v>58047.7</v>
      </c>
      <c r="U12" s="19">
        <v>863685.2</v>
      </c>
      <c r="V12" s="19">
        <v>157.8</v>
      </c>
      <c r="W12" s="19"/>
      <c r="X12" s="19">
        <v>1.4</v>
      </c>
      <c r="Y12" s="55"/>
      <c r="Z12" s="55">
        <f>5062.6</f>
        <v>5062.6</v>
      </c>
      <c r="AA12" s="39">
        <f>SUM(S12:Z12)</f>
        <v>927105.8</v>
      </c>
      <c r="AB12" s="35">
        <f>27932.7+10914.4</f>
        <v>38847.1</v>
      </c>
      <c r="AC12" s="25">
        <f>87991.3+4.2+29243.6+1707.1+806.1+26484.1</f>
        <v>146236.40000000002</v>
      </c>
      <c r="AD12" s="19">
        <v>45671.7</v>
      </c>
      <c r="AE12" s="19"/>
      <c r="AF12" s="55">
        <v>1512.6</v>
      </c>
      <c r="AG12" s="38">
        <f>SUM(AB12:AF12)</f>
        <v>232267.80000000002</v>
      </c>
    </row>
    <row r="13" spans="1:33" ht="32.25" thickBot="1">
      <c r="A13" s="49" t="s">
        <v>2</v>
      </c>
      <c r="B13" s="43" t="s">
        <v>8</v>
      </c>
      <c r="C13" s="39">
        <f aca="true" t="shared" si="1" ref="C13:C24">L13+Q13</f>
        <v>3412.0080000000003</v>
      </c>
      <c r="D13" s="35"/>
      <c r="E13" s="19"/>
      <c r="F13" s="19">
        <f>3407800/1000</f>
        <v>3407.8</v>
      </c>
      <c r="G13" s="19"/>
      <c r="H13" s="19">
        <f>3962/1000</f>
        <v>3.962</v>
      </c>
      <c r="I13" s="19"/>
      <c r="J13" s="55"/>
      <c r="K13" s="55"/>
      <c r="L13" s="39">
        <f aca="true" t="shared" si="2" ref="L13:L19">SUM(D13:K13)</f>
        <v>3411.762</v>
      </c>
      <c r="M13" s="35"/>
      <c r="N13" s="25">
        <v>0.2</v>
      </c>
      <c r="O13" s="19">
        <f>19/1000</f>
        <v>0.019</v>
      </c>
      <c r="P13" s="55">
        <f>27/1000</f>
        <v>0.027</v>
      </c>
      <c r="Q13" s="39">
        <f t="shared" si="0"/>
        <v>0.246</v>
      </c>
      <c r="R13" s="39">
        <f aca="true" t="shared" si="3" ref="R13:R24">AA13+AG13</f>
        <v>3412.0000000000005</v>
      </c>
      <c r="S13" s="35"/>
      <c r="T13" s="19"/>
      <c r="U13" s="19">
        <v>3407.8</v>
      </c>
      <c r="V13" s="19"/>
      <c r="W13" s="19">
        <v>3.9</v>
      </c>
      <c r="X13" s="19"/>
      <c r="Y13" s="55"/>
      <c r="Z13" s="55"/>
      <c r="AA13" s="39">
        <f aca="true" t="shared" si="4" ref="AA13:AA23">SUM(S13:Z13)</f>
        <v>3411.7000000000003</v>
      </c>
      <c r="AC13" s="25">
        <v>0.3</v>
      </c>
      <c r="AD13" s="19"/>
      <c r="AE13" s="19"/>
      <c r="AF13" s="55"/>
      <c r="AG13" s="38">
        <f aca="true" t="shared" si="5" ref="AG13:AG24">SUM(AB13:AF13)</f>
        <v>0.3</v>
      </c>
    </row>
    <row r="14" spans="1:33" ht="24" customHeight="1" thickBot="1">
      <c r="A14" s="48">
        <v>3</v>
      </c>
      <c r="B14" s="43" t="s">
        <v>9</v>
      </c>
      <c r="C14" s="39">
        <f t="shared" si="1"/>
        <v>347.8</v>
      </c>
      <c r="D14" s="35"/>
      <c r="E14" s="19"/>
      <c r="F14" s="19"/>
      <c r="G14" s="19"/>
      <c r="H14" s="19"/>
      <c r="I14" s="19"/>
      <c r="J14" s="55"/>
      <c r="K14" s="55"/>
      <c r="L14" s="39">
        <f t="shared" si="2"/>
        <v>0</v>
      </c>
      <c r="M14" s="35"/>
      <c r="N14" s="25">
        <v>347.8</v>
      </c>
      <c r="O14" s="19"/>
      <c r="P14" s="55"/>
      <c r="Q14" s="39">
        <f t="shared" si="0"/>
        <v>347.8</v>
      </c>
      <c r="R14" s="39">
        <f t="shared" si="3"/>
        <v>347.8</v>
      </c>
      <c r="S14" s="35"/>
      <c r="T14" s="19"/>
      <c r="U14" s="19"/>
      <c r="V14" s="19"/>
      <c r="W14" s="19"/>
      <c r="X14" s="19"/>
      <c r="Y14" s="55"/>
      <c r="Z14" s="55"/>
      <c r="AA14" s="39">
        <f t="shared" si="4"/>
        <v>0</v>
      </c>
      <c r="AB14" s="35"/>
      <c r="AC14" s="25">
        <f>15+1.8+329.6+1.4</f>
        <v>347.8</v>
      </c>
      <c r="AD14" s="19"/>
      <c r="AE14" s="19"/>
      <c r="AF14" s="55"/>
      <c r="AG14" s="38">
        <f t="shared" si="5"/>
        <v>347.8</v>
      </c>
    </row>
    <row r="15" spans="1:33" ht="29.25" customHeight="1" thickBot="1">
      <c r="A15" s="49" t="s">
        <v>3</v>
      </c>
      <c r="B15" s="43" t="s">
        <v>10</v>
      </c>
      <c r="C15" s="39">
        <f t="shared" si="1"/>
        <v>5919.992</v>
      </c>
      <c r="D15" s="35">
        <f>13524/1000</f>
        <v>13.524</v>
      </c>
      <c r="E15" s="19">
        <f>43823/1000</f>
        <v>43.823</v>
      </c>
      <c r="F15" s="19">
        <f>4022933/1000</f>
        <v>4022.933</v>
      </c>
      <c r="G15" s="19">
        <f>184705/1000</f>
        <v>184.705</v>
      </c>
      <c r="H15" s="19"/>
      <c r="I15" s="19"/>
      <c r="J15" s="55"/>
      <c r="K15" s="55"/>
      <c r="L15" s="39">
        <f t="shared" si="2"/>
        <v>4264.985000000001</v>
      </c>
      <c r="M15" s="35">
        <f>(426693+42233+981597)/1000</f>
        <v>1450.523</v>
      </c>
      <c r="N15" s="25">
        <f>(30264+104858+27481)/1000</f>
        <v>162.603</v>
      </c>
      <c r="O15" s="19">
        <f>11233/1000</f>
        <v>11.233</v>
      </c>
      <c r="P15" s="55">
        <f>30648/1000</f>
        <v>30.648</v>
      </c>
      <c r="Q15" s="39">
        <f t="shared" si="0"/>
        <v>1655.0069999999998</v>
      </c>
      <c r="R15" s="39">
        <f t="shared" si="3"/>
        <v>5865.1</v>
      </c>
      <c r="S15" s="35">
        <v>9.8</v>
      </c>
      <c r="T15" s="19">
        <v>46.5</v>
      </c>
      <c r="U15" s="19">
        <v>3897.6</v>
      </c>
      <c r="V15" s="19">
        <v>184.7</v>
      </c>
      <c r="W15" s="19"/>
      <c r="X15" s="19"/>
      <c r="Y15" s="55"/>
      <c r="Z15" s="55"/>
      <c r="AA15" s="39">
        <f t="shared" si="4"/>
        <v>4138.6</v>
      </c>
      <c r="AB15" s="35">
        <f>413.5+43+984.5</f>
        <v>1441</v>
      </c>
      <c r="AC15" s="25">
        <f>78.1+48.2+37.6</f>
        <v>163.9</v>
      </c>
      <c r="AD15" s="19">
        <v>108.9</v>
      </c>
      <c r="AE15" s="19"/>
      <c r="AF15" s="55">
        <v>12.7</v>
      </c>
      <c r="AG15" s="38">
        <f t="shared" si="5"/>
        <v>1726.5000000000002</v>
      </c>
    </row>
    <row r="16" spans="1:33" ht="32.25" thickBot="1">
      <c r="A16" s="48">
        <v>5</v>
      </c>
      <c r="B16" s="43" t="s">
        <v>11</v>
      </c>
      <c r="C16" s="39">
        <f t="shared" si="1"/>
        <v>13099.654</v>
      </c>
      <c r="D16" s="35">
        <f>14389/1000</f>
        <v>14.389</v>
      </c>
      <c r="E16" s="19"/>
      <c r="F16" s="19">
        <f>7056096/1000</f>
        <v>7056.096</v>
      </c>
      <c r="G16" s="19"/>
      <c r="H16" s="19">
        <f>3192683/1000</f>
        <v>3192.683</v>
      </c>
      <c r="I16" s="19">
        <f>71700/1000</f>
        <v>71.7</v>
      </c>
      <c r="J16" s="55"/>
      <c r="K16" s="55"/>
      <c r="L16" s="39">
        <f t="shared" si="2"/>
        <v>10334.868</v>
      </c>
      <c r="M16" s="35">
        <f>(829220+148877+40048)/1000</f>
        <v>1018.145</v>
      </c>
      <c r="N16" s="25">
        <f>529.7+22.3+1.2+23.2+870.7</f>
        <v>1447.1000000000001</v>
      </c>
      <c r="O16" s="19">
        <f>86230/1000</f>
        <v>86.23</v>
      </c>
      <c r="P16" s="55">
        <f>213411/1000-0.1</f>
        <v>213.311</v>
      </c>
      <c r="Q16" s="39">
        <f t="shared" si="0"/>
        <v>2764.786</v>
      </c>
      <c r="R16" s="39">
        <f>AA16+AG16</f>
        <v>13192.5</v>
      </c>
      <c r="S16" s="35">
        <v>12.7</v>
      </c>
      <c r="T16" s="19"/>
      <c r="U16" s="19">
        <v>7039.6</v>
      </c>
      <c r="V16" s="19"/>
      <c r="W16" s="19"/>
      <c r="X16" s="19">
        <v>71.7</v>
      </c>
      <c r="Y16" s="55">
        <v>3018.6</v>
      </c>
      <c r="Z16" s="55"/>
      <c r="AA16" s="39">
        <f t="shared" si="4"/>
        <v>10142.6</v>
      </c>
      <c r="AB16" s="35">
        <f>897.8+119.1+2.3</f>
        <v>1019.1999999999999</v>
      </c>
      <c r="AC16" s="25">
        <f>467.3+25.6+5.8+22.1+987.6</f>
        <v>1508.4</v>
      </c>
      <c r="AD16" s="19">
        <v>251.2</v>
      </c>
      <c r="AE16" s="19"/>
      <c r="AF16" s="55">
        <v>271.1</v>
      </c>
      <c r="AG16" s="38">
        <f t="shared" si="5"/>
        <v>3049.8999999999996</v>
      </c>
    </row>
    <row r="17" spans="1:33" ht="28.5" customHeight="1" thickBot="1">
      <c r="A17" s="49" t="s">
        <v>4</v>
      </c>
      <c r="B17" s="43" t="s">
        <v>12</v>
      </c>
      <c r="C17" s="39">
        <f t="shared" si="1"/>
        <v>34317.106</v>
      </c>
      <c r="D17" s="35">
        <f>40027/1000</f>
        <v>40.027</v>
      </c>
      <c r="E17" s="19"/>
      <c r="F17" s="19">
        <f>16611092/1000</f>
        <v>16611.092</v>
      </c>
      <c r="G17" s="19"/>
      <c r="H17" s="19"/>
      <c r="I17" s="19">
        <f>80817/1000</f>
        <v>80.817</v>
      </c>
      <c r="J17" s="55"/>
      <c r="K17" s="55"/>
      <c r="L17" s="39">
        <f t="shared" si="2"/>
        <v>16731.935999999998</v>
      </c>
      <c r="M17" s="35">
        <f>(1605400+99039+2868698)/1000</f>
        <v>4573.137</v>
      </c>
      <c r="N17" s="25">
        <f>(7948957+552522+73093+58440+2481042)/1000</f>
        <v>11114.054</v>
      </c>
      <c r="O17" s="19">
        <f>(776437+13050)/1000</f>
        <v>789.487</v>
      </c>
      <c r="P17" s="55">
        <f>1108492/1000</f>
        <v>1108.492</v>
      </c>
      <c r="Q17" s="39">
        <f t="shared" si="0"/>
        <v>17585.17</v>
      </c>
      <c r="R17" s="39">
        <f t="shared" si="3"/>
        <v>27118.699999999997</v>
      </c>
      <c r="S17" s="35">
        <v>31.9</v>
      </c>
      <c r="T17" s="19"/>
      <c r="U17" s="19">
        <v>15457.9</v>
      </c>
      <c r="V17" s="19"/>
      <c r="W17" s="19"/>
      <c r="X17" s="19">
        <v>80.8</v>
      </c>
      <c r="Y17" s="55"/>
      <c r="Z17" s="55"/>
      <c r="AA17" s="39">
        <f t="shared" si="4"/>
        <v>15570.599999999999</v>
      </c>
      <c r="AB17" s="35">
        <f>1742.1+122.9+341.3</f>
        <v>2206.3</v>
      </c>
      <c r="AC17" s="25">
        <f>1584.8+555.9+2.3+96+2206.8</f>
        <v>4445.8</v>
      </c>
      <c r="AD17" s="19">
        <f>4198.4+13.1</f>
        <v>4211.5</v>
      </c>
      <c r="AE17" s="19"/>
      <c r="AF17" s="55">
        <v>684.5</v>
      </c>
      <c r="AG17" s="38">
        <f t="shared" si="5"/>
        <v>11548.1</v>
      </c>
    </row>
    <row r="18" spans="1:33" ht="19.5" customHeight="1" thickBot="1">
      <c r="A18" s="48">
        <v>7</v>
      </c>
      <c r="B18" s="43" t="s">
        <v>13</v>
      </c>
      <c r="C18" s="39">
        <f>L18+Q18</f>
        <v>2399.609</v>
      </c>
      <c r="D18" s="35"/>
      <c r="E18" s="19"/>
      <c r="F18" s="19">
        <f>118/1000</f>
        <v>0.118</v>
      </c>
      <c r="G18" s="19"/>
      <c r="H18" s="19"/>
      <c r="I18" s="19"/>
      <c r="J18" s="55"/>
      <c r="K18" s="55"/>
      <c r="L18" s="39">
        <f t="shared" si="2"/>
        <v>0.118</v>
      </c>
      <c r="M18" s="35">
        <f>(186+29+1869178)/1000</f>
        <v>1869.393</v>
      </c>
      <c r="N18" s="25">
        <f>77.8+154.4+124.4</f>
        <v>356.6</v>
      </c>
      <c r="O18" s="19">
        <f>148231/1000</f>
        <v>148.231</v>
      </c>
      <c r="P18" s="55">
        <f>25267/1000</f>
        <v>25.267</v>
      </c>
      <c r="Q18" s="39">
        <f t="shared" si="0"/>
        <v>2399.491</v>
      </c>
      <c r="R18" s="39">
        <f t="shared" si="3"/>
        <v>2613.4999999999995</v>
      </c>
      <c r="S18" s="35"/>
      <c r="T18" s="19"/>
      <c r="U18" s="19">
        <v>0.1</v>
      </c>
      <c r="V18" s="19"/>
      <c r="W18" s="19"/>
      <c r="X18" s="19"/>
      <c r="Y18" s="55"/>
      <c r="Z18" s="55"/>
      <c r="AA18" s="39">
        <f t="shared" si="4"/>
        <v>0.1</v>
      </c>
      <c r="AB18" s="35">
        <f>0.2+1692.3</f>
        <v>1692.5</v>
      </c>
      <c r="AC18" s="25">
        <f>102.5+8+1.3+124.4</f>
        <v>236.2</v>
      </c>
      <c r="AD18" s="19">
        <v>678.5</v>
      </c>
      <c r="AE18" s="19"/>
      <c r="AF18" s="55">
        <v>6.2</v>
      </c>
      <c r="AG18" s="38">
        <f t="shared" si="5"/>
        <v>2613.3999999999996</v>
      </c>
    </row>
    <row r="19" spans="1:33" ht="27" customHeight="1" thickBot="1">
      <c r="A19" s="49" t="s">
        <v>5</v>
      </c>
      <c r="B19" s="43" t="s">
        <v>14</v>
      </c>
      <c r="C19" s="39">
        <f t="shared" si="1"/>
        <v>102297.44799999999</v>
      </c>
      <c r="D19" s="35"/>
      <c r="E19" s="19">
        <f>125000/1000</f>
        <v>125</v>
      </c>
      <c r="F19" s="19">
        <f>229759/1000</f>
        <v>229.759</v>
      </c>
      <c r="G19" s="19">
        <f>14121628/1000</f>
        <v>14121.628</v>
      </c>
      <c r="H19" s="19"/>
      <c r="I19" s="19">
        <f>(243800+15481557)/1000</f>
        <v>15725.357</v>
      </c>
      <c r="J19" s="55">
        <f>68865809/1000</f>
        <v>68865.809</v>
      </c>
      <c r="K19" s="55"/>
      <c r="L19" s="39">
        <f t="shared" si="2"/>
        <v>99067.55299999999</v>
      </c>
      <c r="M19" s="35">
        <f>(1374+6221)/1000</f>
        <v>7.595</v>
      </c>
      <c r="N19" s="25">
        <f>(136395+62008+88270+268+209033)/1000</f>
        <v>495.974</v>
      </c>
      <c r="O19" s="19">
        <f>2722457/1000</f>
        <v>2722.457</v>
      </c>
      <c r="P19" s="55">
        <f>3869/1000</f>
        <v>3.869</v>
      </c>
      <c r="Q19" s="39">
        <f t="shared" si="0"/>
        <v>3229.895</v>
      </c>
      <c r="R19" s="39">
        <f t="shared" si="3"/>
        <v>102974.9</v>
      </c>
      <c r="S19" s="35"/>
      <c r="T19" s="19">
        <v>125</v>
      </c>
      <c r="U19" s="19">
        <v>130.3</v>
      </c>
      <c r="V19" s="19">
        <v>14121.6</v>
      </c>
      <c r="W19" s="19"/>
      <c r="X19" s="19">
        <f>243.8+17541.5</f>
        <v>17785.3</v>
      </c>
      <c r="Y19" s="55">
        <v>69159.2</v>
      </c>
      <c r="Z19" s="55"/>
      <c r="AA19" s="39">
        <f t="shared" si="4"/>
        <v>101321.4</v>
      </c>
      <c r="AB19" s="35">
        <f>0.9+17.8</f>
        <v>18.7</v>
      </c>
      <c r="AC19" s="25">
        <f>98.8+12.5+32.2+182.4</f>
        <v>325.9</v>
      </c>
      <c r="AD19" s="19">
        <f>1262.4+0.7</f>
        <v>1263.1000000000001</v>
      </c>
      <c r="AE19" s="19"/>
      <c r="AF19" s="55">
        <v>45.8</v>
      </c>
      <c r="AG19" s="38">
        <f t="shared" si="5"/>
        <v>1653.5</v>
      </c>
    </row>
    <row r="20" spans="1:33" ht="29.25" customHeight="1" thickBot="1">
      <c r="A20" s="48">
        <v>9</v>
      </c>
      <c r="B20" s="43" t="s">
        <v>15</v>
      </c>
      <c r="C20" s="39">
        <f t="shared" si="1"/>
        <v>287500.27599999995</v>
      </c>
      <c r="D20" s="35">
        <f>82850/1000</f>
        <v>82.85</v>
      </c>
      <c r="E20" s="19"/>
      <c r="F20" s="19">
        <f>507368/1000</f>
        <v>507.368</v>
      </c>
      <c r="G20" s="19"/>
      <c r="H20" s="19">
        <f>1104832/1000</f>
        <v>1104.832</v>
      </c>
      <c r="I20" s="19"/>
      <c r="J20" s="55">
        <f>7620625/1000</f>
        <v>7620.625</v>
      </c>
      <c r="K20" s="55"/>
      <c r="L20" s="39">
        <f>SUM(D20:K20)</f>
        <v>9315.675</v>
      </c>
      <c r="M20" s="35">
        <f>(23897+10113+262447097+684250)/1000</f>
        <v>263165.357</v>
      </c>
      <c r="N20" s="25">
        <f>(3146542+4417024+3846870+7554+689110)/1000</f>
        <v>12107.1</v>
      </c>
      <c r="O20" s="19">
        <f>(2782156+9546)/1000</f>
        <v>2791.702</v>
      </c>
      <c r="P20" s="55">
        <f>120442/1000</f>
        <v>120.442</v>
      </c>
      <c r="Q20" s="39">
        <f t="shared" si="0"/>
        <v>278184.60099999997</v>
      </c>
      <c r="R20" s="39">
        <f t="shared" si="3"/>
        <v>208812.49999999997</v>
      </c>
      <c r="S20" s="35">
        <v>15.5</v>
      </c>
      <c r="T20" s="19"/>
      <c r="U20" s="19">
        <v>402.1</v>
      </c>
      <c r="V20" s="19"/>
      <c r="W20" s="19"/>
      <c r="X20" s="19"/>
      <c r="Y20" s="55">
        <v>7243.5</v>
      </c>
      <c r="Z20" s="55">
        <v>4121.9</v>
      </c>
      <c r="AA20" s="39">
        <f t="shared" si="4"/>
        <v>11783</v>
      </c>
      <c r="AB20" s="35">
        <f>37.8+16.5+180431.3+684.3</f>
        <v>181169.89999999997</v>
      </c>
      <c r="AC20" s="25">
        <f>2097.2+236.3+2839.9+6.8+844.6</f>
        <v>6024.8</v>
      </c>
      <c r="AD20" s="19">
        <v>9631.2</v>
      </c>
      <c r="AE20" s="19">
        <v>100</v>
      </c>
      <c r="AF20" s="55">
        <v>103.6</v>
      </c>
      <c r="AG20" s="38">
        <f t="shared" si="5"/>
        <v>197029.49999999997</v>
      </c>
    </row>
    <row r="21" spans="1:33" ht="21" customHeight="1" thickBot="1">
      <c r="A21" s="49" t="s">
        <v>6</v>
      </c>
      <c r="B21" s="43" t="s">
        <v>16</v>
      </c>
      <c r="C21" s="39">
        <f t="shared" si="1"/>
        <v>396545.68700000003</v>
      </c>
      <c r="D21" s="35">
        <f>1488647/1000</f>
        <v>1488.647</v>
      </c>
      <c r="E21" s="19">
        <f>3260799/1000</f>
        <v>3260.799</v>
      </c>
      <c r="F21" s="19">
        <f>261897986/1000</f>
        <v>261897.986</v>
      </c>
      <c r="G21" s="19">
        <f>1770564/1000</f>
        <v>1770.564</v>
      </c>
      <c r="H21" s="19"/>
      <c r="I21" s="19">
        <f>1416569/1000+209436/1000</f>
        <v>1626.0049999999999</v>
      </c>
      <c r="J21" s="55">
        <f>12000000/1000</f>
        <v>12000</v>
      </c>
      <c r="K21" s="55"/>
      <c r="L21" s="39">
        <f>SUM(D21:K21)</f>
        <v>282044.00100000005</v>
      </c>
      <c r="M21" s="35">
        <f>(51688785+1175062+4294929+1240537)/1000</f>
        <v>58399.313</v>
      </c>
      <c r="N21" s="25">
        <f>(17749558+3633178+2403210+248030+8069492)/1000</f>
        <v>32103.468</v>
      </c>
      <c r="O21" s="19">
        <f>(21873121+1683252)/1000</f>
        <v>23556.373</v>
      </c>
      <c r="P21" s="55">
        <f>442532/1000</f>
        <v>442.532</v>
      </c>
      <c r="Q21" s="39">
        <f t="shared" si="0"/>
        <v>114501.68600000002</v>
      </c>
      <c r="R21" s="39">
        <f>AA21+AG21</f>
        <v>374508.4</v>
      </c>
      <c r="S21" s="35">
        <v>1032.4</v>
      </c>
      <c r="T21" s="19">
        <v>2299.1</v>
      </c>
      <c r="U21" s="19">
        <v>231246.6</v>
      </c>
      <c r="V21" s="19">
        <v>1770.6</v>
      </c>
      <c r="W21" s="19"/>
      <c r="X21" s="19">
        <f>531+1095</f>
        <v>1626</v>
      </c>
      <c r="Y21" s="55">
        <v>11972.8</v>
      </c>
      <c r="Z21" s="55"/>
      <c r="AA21" s="39">
        <f t="shared" si="4"/>
        <v>249947.5</v>
      </c>
      <c r="AB21" s="35">
        <f>53516.3+1157.6+3334.6+1624.1</f>
        <v>59632.6</v>
      </c>
      <c r="AC21" s="25">
        <f>21694.9+6526.2+4638.3+777.9+14918.7</f>
        <v>48556</v>
      </c>
      <c r="AD21" s="19">
        <f>14151.3+1961.2</f>
        <v>16112.5</v>
      </c>
      <c r="AE21" s="19"/>
      <c r="AF21" s="55">
        <v>259.8</v>
      </c>
      <c r="AG21" s="38">
        <f t="shared" si="5"/>
        <v>124560.90000000001</v>
      </c>
    </row>
    <row r="22" spans="1:33" ht="21" customHeight="1" thickBot="1">
      <c r="A22" s="50" t="s">
        <v>41</v>
      </c>
      <c r="B22" s="45" t="s">
        <v>64</v>
      </c>
      <c r="C22" s="40">
        <f>L22+Q22</f>
        <v>4451.845</v>
      </c>
      <c r="D22" s="36"/>
      <c r="E22" s="32">
        <f>650/1000</f>
        <v>0.65</v>
      </c>
      <c r="F22" s="32">
        <f>1649634/1000</f>
        <v>1649.634</v>
      </c>
      <c r="G22" s="32"/>
      <c r="H22" s="32">
        <f>401900/1000</f>
        <v>401.9</v>
      </c>
      <c r="I22" s="32"/>
      <c r="J22" s="56"/>
      <c r="K22" s="56"/>
      <c r="L22" s="61">
        <f>SUM(D22:K22)</f>
        <v>2052.184</v>
      </c>
      <c r="M22" s="36">
        <f>(39790+2862)/1000</f>
        <v>42.652</v>
      </c>
      <c r="N22" s="33">
        <f>(1764672+3842+16689+57316+22118)/1000</f>
        <v>1864.637</v>
      </c>
      <c r="O22" s="32">
        <f>492372/1000</f>
        <v>492.372</v>
      </c>
      <c r="P22" s="56"/>
      <c r="Q22" s="61">
        <f t="shared" si="0"/>
        <v>2399.661</v>
      </c>
      <c r="R22" s="61">
        <f>AA22+AG22</f>
        <v>3371.7999999999997</v>
      </c>
      <c r="S22" s="36"/>
      <c r="T22" s="32"/>
      <c r="U22" s="32">
        <v>1450.8</v>
      </c>
      <c r="V22" s="32"/>
      <c r="W22" s="32">
        <v>401.9</v>
      </c>
      <c r="X22" s="32"/>
      <c r="Y22" s="56"/>
      <c r="Z22" s="55"/>
      <c r="AA22" s="39">
        <f t="shared" si="4"/>
        <v>1852.6999999999998</v>
      </c>
      <c r="AB22" s="36">
        <f>34.9+2.8</f>
        <v>37.699999999999996</v>
      </c>
      <c r="AC22" s="33">
        <f>1397.9+3.8+2+65.1+3</f>
        <v>1471.8</v>
      </c>
      <c r="AD22" s="32">
        <v>9.5</v>
      </c>
      <c r="AE22" s="32"/>
      <c r="AF22" s="56">
        <v>0.1</v>
      </c>
      <c r="AG22" s="38">
        <f t="shared" si="5"/>
        <v>1519.1</v>
      </c>
    </row>
    <row r="23" spans="1:33" ht="21" customHeight="1" thickBot="1">
      <c r="A23" s="49" t="s">
        <v>42</v>
      </c>
      <c r="B23" s="44" t="s">
        <v>63</v>
      </c>
      <c r="C23" s="39">
        <f>L23+Q23</f>
        <v>443.043</v>
      </c>
      <c r="D23" s="35"/>
      <c r="E23" s="19"/>
      <c r="F23" s="19"/>
      <c r="G23" s="19"/>
      <c r="H23" s="19"/>
      <c r="I23" s="19"/>
      <c r="J23" s="55"/>
      <c r="K23" s="55"/>
      <c r="L23" s="39">
        <f>SUM(D23:K23)</f>
        <v>0</v>
      </c>
      <c r="M23" s="35">
        <f>22850/1000</f>
        <v>22.85</v>
      </c>
      <c r="N23" s="25">
        <f>(43653+132735+624+11023)/1000</f>
        <v>188.035</v>
      </c>
      <c r="O23" s="19">
        <f>229135/1000</f>
        <v>229.135</v>
      </c>
      <c r="P23" s="55">
        <f>3023/1000</f>
        <v>3.023</v>
      </c>
      <c r="Q23" s="39">
        <f t="shared" si="0"/>
        <v>443.043</v>
      </c>
      <c r="R23" s="39">
        <f>AA23+AG23</f>
        <v>0</v>
      </c>
      <c r="S23" s="35"/>
      <c r="T23" s="19"/>
      <c r="U23" s="19"/>
      <c r="V23" s="19"/>
      <c r="W23" s="19"/>
      <c r="X23" s="19"/>
      <c r="Y23" s="55"/>
      <c r="Z23" s="55"/>
      <c r="AA23" s="39">
        <f t="shared" si="4"/>
        <v>0</v>
      </c>
      <c r="AB23" s="35"/>
      <c r="AC23" s="25"/>
      <c r="AD23" s="19"/>
      <c r="AE23" s="19"/>
      <c r="AF23" s="55"/>
      <c r="AG23" s="38">
        <f t="shared" si="5"/>
        <v>0</v>
      </c>
    </row>
    <row r="24" spans="1:33" ht="48" thickBot="1">
      <c r="A24" s="49" t="s">
        <v>43</v>
      </c>
      <c r="B24" s="43" t="s">
        <v>71</v>
      </c>
      <c r="C24" s="39">
        <f t="shared" si="1"/>
        <v>19900.476000000002</v>
      </c>
      <c r="D24" s="35">
        <f>1000/1000</f>
        <v>1</v>
      </c>
      <c r="E24" s="19">
        <f>2922286/1000</f>
        <v>2922.286</v>
      </c>
      <c r="F24" s="19">
        <f>8390038/1000</f>
        <v>8390.038</v>
      </c>
      <c r="G24" s="19"/>
      <c r="H24" s="19"/>
      <c r="I24" s="19">
        <f>249691/1000</f>
        <v>249.691</v>
      </c>
      <c r="J24" s="55"/>
      <c r="K24" s="55"/>
      <c r="L24" s="39">
        <f>SUM(D24:K24)</f>
        <v>11563.015000000001</v>
      </c>
      <c r="M24" s="35">
        <f>(505618+61700+625)/1000</f>
        <v>567.943</v>
      </c>
      <c r="N24" s="25">
        <f>(2709083+591064+72351+14267+4147257)/1000</f>
        <v>7534.022</v>
      </c>
      <c r="O24" s="19">
        <f>163533/1000</f>
        <v>163.533</v>
      </c>
      <c r="P24" s="55">
        <f>71963/1000</f>
        <v>71.963</v>
      </c>
      <c r="Q24" s="39">
        <f t="shared" si="0"/>
        <v>8337.461</v>
      </c>
      <c r="R24" s="39">
        <f t="shared" si="3"/>
        <v>18829</v>
      </c>
      <c r="S24" s="35">
        <v>1</v>
      </c>
      <c r="T24" s="19">
        <v>2878.9</v>
      </c>
      <c r="U24" s="19">
        <v>7387</v>
      </c>
      <c r="V24" s="19"/>
      <c r="W24" s="19"/>
      <c r="X24" s="19">
        <v>129.9</v>
      </c>
      <c r="Y24" s="55"/>
      <c r="Z24" s="56"/>
      <c r="AA24" s="40">
        <f>SUM(S24:Z24)</f>
        <v>10396.8</v>
      </c>
      <c r="AB24" s="35">
        <f>486.9+59+0.6</f>
        <v>546.5</v>
      </c>
      <c r="AC24" s="25">
        <f>2811.1+617.4+72.4+15.8+4156.7</f>
        <v>7673.4</v>
      </c>
      <c r="AD24" s="19">
        <v>140.3</v>
      </c>
      <c r="AE24" s="19"/>
      <c r="AF24" s="55">
        <v>72</v>
      </c>
      <c r="AG24" s="38">
        <f t="shared" si="5"/>
        <v>8432.199999999999</v>
      </c>
    </row>
    <row r="25" spans="1:34" s="23" customFormat="1" ht="16.5" thickBot="1">
      <c r="A25" s="87" t="s">
        <v>70</v>
      </c>
      <c r="B25" s="88"/>
      <c r="C25" s="52">
        <f>L25+Q25</f>
        <v>2115129.7329999995</v>
      </c>
      <c r="D25" s="51">
        <f aca="true" t="shared" si="6" ref="D25:J25">SUM(D12:D24)</f>
        <v>2050.285</v>
      </c>
      <c r="E25" s="34">
        <f t="shared" si="6"/>
        <v>81275.01999999999</v>
      </c>
      <c r="F25" s="34">
        <f t="shared" si="6"/>
        <v>1193479.3</v>
      </c>
      <c r="G25" s="34">
        <f t="shared" si="6"/>
        <v>16234.676000000001</v>
      </c>
      <c r="H25" s="34">
        <f t="shared" si="6"/>
        <v>7645.237</v>
      </c>
      <c r="I25" s="34">
        <f t="shared" si="6"/>
        <v>17754.92</v>
      </c>
      <c r="J25" s="57">
        <f t="shared" si="6"/>
        <v>88486.434</v>
      </c>
      <c r="K25" s="57"/>
      <c r="L25" s="52">
        <f>SUM(L12:L24)</f>
        <v>1406925.8719999997</v>
      </c>
      <c r="M25" s="51">
        <f>SUM(M12:M24)</f>
        <v>375843.591</v>
      </c>
      <c r="N25" s="34">
        <f>SUM(N12:N24)</f>
        <v>293780.63999999996</v>
      </c>
      <c r="O25" s="34">
        <f>SUM(O12:O24)</f>
        <v>33917.18600000001</v>
      </c>
      <c r="P25" s="57">
        <f>SUM(P12:P24)</f>
        <v>4662.4439999999995</v>
      </c>
      <c r="Q25" s="52">
        <f t="shared" si="0"/>
        <v>708203.8609999999</v>
      </c>
      <c r="R25" s="52">
        <f>AA25+AG25</f>
        <v>1920419.7999999998</v>
      </c>
      <c r="S25" s="51">
        <f>SUM(S12:S24)</f>
        <v>1254.4</v>
      </c>
      <c r="T25" s="51">
        <f aca="true" t="shared" si="7" ref="T25:Z25">SUM(T12:T24)</f>
        <v>63397.2</v>
      </c>
      <c r="U25" s="51">
        <f t="shared" si="7"/>
        <v>1134105</v>
      </c>
      <c r="V25" s="51">
        <f t="shared" si="7"/>
        <v>16234.7</v>
      </c>
      <c r="W25" s="51">
        <f t="shared" si="7"/>
        <v>405.79999999999995</v>
      </c>
      <c r="X25" s="51">
        <f t="shared" si="7"/>
        <v>19695.100000000002</v>
      </c>
      <c r="Y25" s="74">
        <f t="shared" si="7"/>
        <v>91394.1</v>
      </c>
      <c r="Z25" s="52">
        <f t="shared" si="7"/>
        <v>9184.5</v>
      </c>
      <c r="AA25" s="51">
        <f aca="true" t="shared" si="8" ref="AA25:AF25">SUM(AA12:AA24)</f>
        <v>1335670.7999999998</v>
      </c>
      <c r="AB25" s="51">
        <f t="shared" si="8"/>
        <v>286611.49999999994</v>
      </c>
      <c r="AC25" s="51">
        <f t="shared" si="8"/>
        <v>216990.69999999995</v>
      </c>
      <c r="AD25" s="51">
        <f t="shared" si="8"/>
        <v>78078.4</v>
      </c>
      <c r="AE25" s="51">
        <f t="shared" si="8"/>
        <v>100</v>
      </c>
      <c r="AF25" s="51">
        <f t="shared" si="8"/>
        <v>2968.4</v>
      </c>
      <c r="AG25" s="52">
        <f>SUM(AB25:AF25)</f>
        <v>584748.9999999999</v>
      </c>
      <c r="AH25" s="22"/>
    </row>
    <row r="26" spans="3:33" ht="15.75">
      <c r="C26" s="27"/>
      <c r="L26" s="27"/>
      <c r="AA26" s="27"/>
      <c r="AG26" s="27"/>
    </row>
    <row r="27" spans="12:33" ht="15.75">
      <c r="L27" s="27"/>
      <c r="R27" s="27"/>
      <c r="AA27" s="27"/>
      <c r="AG27" s="27"/>
    </row>
    <row r="28" spans="12:27" ht="15.75">
      <c r="L28" s="27"/>
      <c r="AA28" s="27"/>
    </row>
    <row r="29" s="24" customFormat="1" ht="15"/>
    <row r="30" spans="2:19" s="28" customFormat="1" ht="27.75" customHeight="1">
      <c r="B30" s="91" t="s">
        <v>78</v>
      </c>
      <c r="C30" s="91"/>
      <c r="D30" s="91"/>
      <c r="E30" s="91"/>
      <c r="F30" s="91"/>
      <c r="G30" s="91"/>
      <c r="H30" s="91"/>
      <c r="I30" s="91"/>
      <c r="J30" s="91"/>
      <c r="K30" s="91"/>
      <c r="L30" s="72"/>
      <c r="M30" s="72"/>
      <c r="N30" s="72"/>
      <c r="O30" s="72"/>
      <c r="P30" s="72"/>
      <c r="Q30" s="72" t="s">
        <v>79</v>
      </c>
      <c r="R30" s="72"/>
      <c r="S30" s="72"/>
    </row>
  </sheetData>
  <sheetProtection/>
  <mergeCells count="12">
    <mergeCell ref="B30:K30"/>
    <mergeCell ref="A4:AC4"/>
    <mergeCell ref="A5:AC5"/>
    <mergeCell ref="A7:A9"/>
    <mergeCell ref="B7:B9"/>
    <mergeCell ref="R7:AG7"/>
    <mergeCell ref="C8:C9"/>
    <mergeCell ref="C7:Q7"/>
    <mergeCell ref="A25:B25"/>
    <mergeCell ref="R8:R9"/>
    <mergeCell ref="D8:Q8"/>
    <mergeCell ref="S8:AG8"/>
  </mergeCells>
  <printOptions/>
  <pageMargins left="1.1023622047244095" right="0.5118110236220472" top="1.9291338582677167" bottom="0.7480314960629921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4">
      <selection activeCell="A4" sqref="A4:H19"/>
    </sheetView>
  </sheetViews>
  <sheetFormatPr defaultColWidth="9.140625" defaultRowHeight="12.75"/>
  <cols>
    <col min="2" max="2" width="33.57421875" style="0" customWidth="1"/>
    <col min="3" max="4" width="13.8515625" style="0" customWidth="1"/>
    <col min="5" max="5" width="14.140625" style="0" customWidth="1"/>
    <col min="6" max="6" width="13.57421875" style="0" customWidth="1"/>
    <col min="7" max="7" width="14.00390625" style="0" customWidth="1"/>
    <col min="8" max="8" width="12.00390625" style="0" customWidth="1"/>
  </cols>
  <sheetData>
    <row r="2" spans="1:8" ht="15.75">
      <c r="A2" s="1"/>
      <c r="B2" s="100" t="s">
        <v>37</v>
      </c>
      <c r="C2" s="100"/>
      <c r="D2" s="100"/>
      <c r="E2" s="100"/>
      <c r="F2" s="100"/>
      <c r="G2" s="100"/>
      <c r="H2" s="1"/>
    </row>
    <row r="3" spans="1:8" ht="23.25" customHeight="1">
      <c r="A3" s="1"/>
      <c r="B3" s="1"/>
      <c r="C3" s="1"/>
      <c r="D3" s="1"/>
      <c r="E3" s="1"/>
      <c r="F3" s="1"/>
      <c r="G3" s="1"/>
      <c r="H3" s="1"/>
    </row>
    <row r="4" spans="1:8" ht="19.5" customHeight="1">
      <c r="A4" s="103" t="s">
        <v>28</v>
      </c>
      <c r="B4" s="105" t="s">
        <v>29</v>
      </c>
      <c r="C4" s="107" t="s">
        <v>39</v>
      </c>
      <c r="D4" s="108"/>
      <c r="E4" s="107" t="s">
        <v>77</v>
      </c>
      <c r="F4" s="108"/>
      <c r="G4" s="109" t="s">
        <v>30</v>
      </c>
      <c r="H4" s="109"/>
    </row>
    <row r="5" spans="1:8" ht="15.75">
      <c r="A5" s="104"/>
      <c r="B5" s="106"/>
      <c r="C5" s="5" t="s">
        <v>31</v>
      </c>
      <c r="D5" s="5" t="s">
        <v>32</v>
      </c>
      <c r="E5" s="5" t="s">
        <v>31</v>
      </c>
      <c r="F5" s="5" t="s">
        <v>32</v>
      </c>
      <c r="G5" s="5" t="s">
        <v>31</v>
      </c>
      <c r="H5" s="4" t="s">
        <v>33</v>
      </c>
    </row>
    <row r="6" spans="1:8" ht="12.75">
      <c r="A6" s="110">
        <v>1</v>
      </c>
      <c r="B6" s="111"/>
      <c r="C6" s="8">
        <v>2</v>
      </c>
      <c r="D6" s="6">
        <v>3</v>
      </c>
      <c r="E6" s="7">
        <v>4</v>
      </c>
      <c r="F6" s="8">
        <v>5</v>
      </c>
      <c r="G6" s="8" t="s">
        <v>34</v>
      </c>
      <c r="H6" s="8" t="s">
        <v>35</v>
      </c>
    </row>
    <row r="7" spans="1:9" ht="22.5" customHeight="1">
      <c r="A7" s="101" t="s">
        <v>36</v>
      </c>
      <c r="B7" s="102"/>
      <c r="C7" s="9">
        <f>SUM(C8:C19)</f>
        <v>2115129.733</v>
      </c>
      <c r="D7" s="5">
        <v>100</v>
      </c>
      <c r="E7" s="9">
        <f>SUM(E8:E19)</f>
        <v>1920419.8</v>
      </c>
      <c r="F7" s="5">
        <v>100</v>
      </c>
      <c r="G7" s="9">
        <f>E7-C7</f>
        <v>-194709.93299999996</v>
      </c>
      <c r="H7" s="9">
        <v>0</v>
      </c>
      <c r="I7" s="26">
        <f>E7-Лист3!R25</f>
        <v>0</v>
      </c>
    </row>
    <row r="8" spans="1:8" ht="17.25" customHeight="1">
      <c r="A8" s="2">
        <v>1</v>
      </c>
      <c r="B8" s="3" t="s">
        <v>18</v>
      </c>
      <c r="C8" s="10">
        <f>Лист3!D25</f>
        <v>2050.285</v>
      </c>
      <c r="D8" s="10">
        <f>C8/C7*D7</f>
        <v>0.09693424322923079</v>
      </c>
      <c r="E8" s="10">
        <f>Лист3!S25</f>
        <v>1254.4</v>
      </c>
      <c r="F8" s="10">
        <f>E8/E7*100</f>
        <v>0.06531905159486484</v>
      </c>
      <c r="G8" s="10">
        <f aca="true" t="shared" si="0" ref="G8:H19">E8-C8</f>
        <v>-795.8849999999998</v>
      </c>
      <c r="H8" s="10">
        <f>F8-D8</f>
        <v>-0.03161519163436595</v>
      </c>
    </row>
    <row r="9" spans="1:8" ht="15.75" customHeight="1">
      <c r="A9" s="2">
        <v>2</v>
      </c>
      <c r="B9" s="3" t="s">
        <v>19</v>
      </c>
      <c r="C9" s="10">
        <f>Лист3!E25</f>
        <v>81275.01999999999</v>
      </c>
      <c r="D9" s="10">
        <f aca="true" t="shared" si="1" ref="D9:D18">C9/C8*D8</f>
        <v>3.84255484341962</v>
      </c>
      <c r="E9" s="10">
        <f>Лист3!T25</f>
        <v>63397.2</v>
      </c>
      <c r="F9" s="10">
        <f>E9/E7*100</f>
        <v>3.301215702941617</v>
      </c>
      <c r="G9" s="10">
        <f t="shared" si="0"/>
        <v>-17877.819999999992</v>
      </c>
      <c r="H9" s="10">
        <f t="shared" si="0"/>
        <v>-0.5413391404780032</v>
      </c>
    </row>
    <row r="10" spans="1:8" ht="28.5" customHeight="1">
      <c r="A10" s="2">
        <v>3</v>
      </c>
      <c r="B10" s="3" t="s">
        <v>20</v>
      </c>
      <c r="C10" s="10">
        <f>Лист3!F25</f>
        <v>1193479.3</v>
      </c>
      <c r="D10" s="10">
        <f>C10/C9*D9</f>
        <v>56.42582019341316</v>
      </c>
      <c r="E10" s="10">
        <f>Лист3!U25</f>
        <v>1134105</v>
      </c>
      <c r="F10" s="10">
        <f>E10/E7*100</f>
        <v>59.055056607935406</v>
      </c>
      <c r="G10" s="10">
        <f t="shared" si="0"/>
        <v>-59374.30000000005</v>
      </c>
      <c r="H10" s="10">
        <f t="shared" si="0"/>
        <v>2.6292364145222464</v>
      </c>
    </row>
    <row r="11" spans="1:8" ht="15.75">
      <c r="A11" s="2">
        <v>4</v>
      </c>
      <c r="B11" s="3" t="s">
        <v>21</v>
      </c>
      <c r="C11" s="10">
        <f>Лист3!G25</f>
        <v>16234.676000000001</v>
      </c>
      <c r="D11" s="10">
        <f t="shared" si="1"/>
        <v>0.7675498928840409</v>
      </c>
      <c r="E11" s="10">
        <f>Лист3!V25</f>
        <v>16234.7</v>
      </c>
      <c r="F11" s="10">
        <f>E11/E7*F7</f>
        <v>0.8453724545018751</v>
      </c>
      <c r="G11" s="10">
        <f t="shared" si="0"/>
        <v>0.023999999999432475</v>
      </c>
      <c r="H11" s="10">
        <f t="shared" si="0"/>
        <v>0.0778225616178343</v>
      </c>
    </row>
    <row r="12" spans="1:8" ht="15.75">
      <c r="A12" s="2">
        <v>5</v>
      </c>
      <c r="B12" s="3" t="s">
        <v>22</v>
      </c>
      <c r="C12" s="10">
        <f>Лист3!J25</f>
        <v>88486.434</v>
      </c>
      <c r="D12" s="10">
        <f t="shared" si="1"/>
        <v>4.1834991310199685</v>
      </c>
      <c r="E12" s="10">
        <f>Лист3!Y25</f>
        <v>91394.1</v>
      </c>
      <c r="F12" s="10">
        <f aca="true" t="shared" si="2" ref="F12:F17">E12/E8*F8</f>
        <v>4.759068824430992</v>
      </c>
      <c r="G12" s="10">
        <f t="shared" si="0"/>
        <v>2907.666000000012</v>
      </c>
      <c r="H12" s="10">
        <f t="shared" si="0"/>
        <v>0.5755696934110235</v>
      </c>
    </row>
    <row r="13" spans="1:8" ht="15.75">
      <c r="A13" s="2">
        <v>6</v>
      </c>
      <c r="B13" s="3" t="s">
        <v>23</v>
      </c>
      <c r="C13" s="10">
        <f>Лист3!H25</f>
        <v>7645.237</v>
      </c>
      <c r="D13" s="10">
        <f>C13/C12*D12</f>
        <v>0.3614547552672505</v>
      </c>
      <c r="E13" s="10">
        <f>Лист3!W25</f>
        <v>405.79999999999995</v>
      </c>
      <c r="F13" s="10">
        <f t="shared" si="2"/>
        <v>0.0211307965060556</v>
      </c>
      <c r="G13" s="10">
        <f t="shared" si="0"/>
        <v>-7239.437</v>
      </c>
      <c r="H13" s="10">
        <f t="shared" si="0"/>
        <v>-0.3403239587611949</v>
      </c>
    </row>
    <row r="14" spans="1:8" ht="21.75" customHeight="1">
      <c r="A14" s="2">
        <v>7</v>
      </c>
      <c r="B14" s="3" t="s">
        <v>17</v>
      </c>
      <c r="C14" s="10">
        <f>Лист3!K25</f>
        <v>0</v>
      </c>
      <c r="D14" s="10">
        <f t="shared" si="1"/>
        <v>0</v>
      </c>
      <c r="E14" s="10">
        <f>Лист3!Z25</f>
        <v>9184.5</v>
      </c>
      <c r="F14" s="10">
        <f t="shared" si="2"/>
        <v>0.4782548065792698</v>
      </c>
      <c r="G14" s="10">
        <f t="shared" si="0"/>
        <v>9184.5</v>
      </c>
      <c r="H14" s="10">
        <f t="shared" si="0"/>
        <v>0.4782548065792698</v>
      </c>
    </row>
    <row r="15" spans="1:8" ht="15" customHeight="1">
      <c r="A15" s="2">
        <v>8</v>
      </c>
      <c r="B15" s="3" t="s">
        <v>80</v>
      </c>
      <c r="C15" s="10">
        <f>Лист3!I25</f>
        <v>17754.92</v>
      </c>
      <c r="D15" s="10">
        <f>C15/C7*D7</f>
        <v>0.8394246330610302</v>
      </c>
      <c r="E15" s="10">
        <f>Лист3!X25+Лист3!AE25</f>
        <v>19795.100000000002</v>
      </c>
      <c r="F15" s="10">
        <f t="shared" si="2"/>
        <v>1.0307694182282439</v>
      </c>
      <c r="G15" s="10">
        <f t="shared" si="0"/>
        <v>2040.180000000004</v>
      </c>
      <c r="H15" s="10">
        <f t="shared" si="0"/>
        <v>0.19134478516721365</v>
      </c>
    </row>
    <row r="16" spans="1:8" ht="15.75">
      <c r="A16" s="2">
        <v>9</v>
      </c>
      <c r="B16" s="3" t="s">
        <v>24</v>
      </c>
      <c r="C16" s="10">
        <f>Лист3!M25</f>
        <v>375843.591</v>
      </c>
      <c r="D16" s="10">
        <f t="shared" si="1"/>
        <v>17.769292594025487</v>
      </c>
      <c r="E16" s="10">
        <f>Лист3!AB25</f>
        <v>286611.49999999994</v>
      </c>
      <c r="F16" s="10">
        <f t="shared" si="2"/>
        <v>14.924419129609056</v>
      </c>
      <c r="G16" s="10">
        <f t="shared" si="0"/>
        <v>-89232.09100000007</v>
      </c>
      <c r="H16" s="10">
        <f t="shared" si="0"/>
        <v>-2.8448734644164304</v>
      </c>
    </row>
    <row r="17" spans="1:8" ht="15.75">
      <c r="A17" s="2">
        <v>10</v>
      </c>
      <c r="B17" s="3" t="s">
        <v>25</v>
      </c>
      <c r="C17" s="10">
        <f>Лист3!N25</f>
        <v>293780.63999999996</v>
      </c>
      <c r="D17" s="10">
        <f t="shared" si="1"/>
        <v>13.889485614828713</v>
      </c>
      <c r="E17" s="10">
        <f>Лист3!AC25</f>
        <v>216990.69999999995</v>
      </c>
      <c r="F17" s="10">
        <f t="shared" si="2"/>
        <v>11.299128450977227</v>
      </c>
      <c r="G17" s="10">
        <f t="shared" si="0"/>
        <v>-76789.94</v>
      </c>
      <c r="H17" s="10">
        <f t="shared" si="0"/>
        <v>-2.590357163851486</v>
      </c>
    </row>
    <row r="18" spans="1:8" ht="15.75">
      <c r="A18" s="2">
        <v>11</v>
      </c>
      <c r="B18" s="3" t="s">
        <v>26</v>
      </c>
      <c r="C18" s="10">
        <f>Лист3!O25</f>
        <v>33917.18600000001</v>
      </c>
      <c r="D18" s="10">
        <f t="shared" si="1"/>
        <v>1.60355109527459</v>
      </c>
      <c r="E18" s="10">
        <f>Лист3!AD25</f>
        <v>78078.4</v>
      </c>
      <c r="F18" s="10">
        <f>E18/E7*F7</f>
        <v>4.065694386196184</v>
      </c>
      <c r="G18" s="10">
        <f t="shared" si="0"/>
        <v>44161.213999999985</v>
      </c>
      <c r="H18" s="10">
        <f t="shared" si="0"/>
        <v>2.462143290921594</v>
      </c>
    </row>
    <row r="19" spans="1:8" ht="15.75">
      <c r="A19" s="2">
        <v>13</v>
      </c>
      <c r="B19" s="3" t="s">
        <v>27</v>
      </c>
      <c r="C19" s="10">
        <f>Лист3!P25</f>
        <v>4662.4439999999995</v>
      </c>
      <c r="D19" s="10">
        <f>C19/C7*D7</f>
        <v>0.22043300357690163</v>
      </c>
      <c r="E19" s="10">
        <f>Лист3!AF25</f>
        <v>2968.4</v>
      </c>
      <c r="F19" s="10">
        <f>E19/E16*F16</f>
        <v>0.15457037049920025</v>
      </c>
      <c r="G19" s="10">
        <f t="shared" si="0"/>
        <v>-1694.0439999999994</v>
      </c>
      <c r="H19" s="10">
        <f t="shared" si="0"/>
        <v>-0.06586263307770138</v>
      </c>
    </row>
    <row r="21" ht="12.75">
      <c r="E21" s="26"/>
    </row>
    <row r="22" ht="12.75">
      <c r="C22" s="26"/>
    </row>
    <row r="23" spans="2:11" s="28" customFormat="1" ht="27.75" customHeight="1">
      <c r="B23" s="99" t="s">
        <v>61</v>
      </c>
      <c r="C23" s="99"/>
      <c r="D23" s="99"/>
      <c r="E23" s="99"/>
      <c r="F23" s="99"/>
      <c r="G23" s="99"/>
      <c r="H23" s="99"/>
      <c r="I23" s="99"/>
      <c r="J23" s="99"/>
      <c r="K23" s="99"/>
    </row>
  </sheetData>
  <sheetProtection/>
  <mergeCells count="9">
    <mergeCell ref="B23:K23"/>
    <mergeCell ref="B2:G2"/>
    <mergeCell ref="A7:B7"/>
    <mergeCell ref="A4:A5"/>
    <mergeCell ref="B4:B5"/>
    <mergeCell ref="C4:D4"/>
    <mergeCell ref="E4:F4"/>
    <mergeCell ref="G4:H4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3">
      <selection activeCell="C22" sqref="C22:D22"/>
    </sheetView>
  </sheetViews>
  <sheetFormatPr defaultColWidth="9.140625" defaultRowHeight="12.75"/>
  <cols>
    <col min="1" max="1" width="9.140625" style="12" customWidth="1"/>
    <col min="2" max="2" width="33.57421875" style="12" customWidth="1"/>
    <col min="3" max="3" width="14.140625" style="12" customWidth="1"/>
    <col min="4" max="4" width="13.57421875" style="12" customWidth="1"/>
    <col min="5" max="16384" width="9.140625" style="12" customWidth="1"/>
  </cols>
  <sheetData>
    <row r="2" spans="1:4" ht="15.75">
      <c r="A2" s="11"/>
      <c r="B2" s="93" t="s">
        <v>37</v>
      </c>
      <c r="C2" s="93"/>
      <c r="D2" s="93"/>
    </row>
    <row r="3" spans="1:4" ht="23.25" customHeight="1">
      <c r="A3" s="11"/>
      <c r="B3" s="11"/>
      <c r="C3" s="11"/>
      <c r="D3" s="11"/>
    </row>
    <row r="4" spans="1:4" ht="19.5" customHeight="1">
      <c r="A4" s="112" t="s">
        <v>28</v>
      </c>
      <c r="B4" s="114" t="s">
        <v>29</v>
      </c>
      <c r="C4" s="116" t="s">
        <v>77</v>
      </c>
      <c r="D4" s="117"/>
    </row>
    <row r="5" spans="1:4" ht="15.75">
      <c r="A5" s="113"/>
      <c r="B5" s="115"/>
      <c r="C5" s="13" t="s">
        <v>31</v>
      </c>
      <c r="D5" s="13" t="s">
        <v>32</v>
      </c>
    </row>
    <row r="6" spans="1:4" ht="12.75">
      <c r="A6" s="118">
        <v>1</v>
      </c>
      <c r="B6" s="119"/>
      <c r="C6" s="14">
        <v>4</v>
      </c>
      <c r="D6" s="15">
        <v>5</v>
      </c>
    </row>
    <row r="7" spans="1:5" ht="22.5" customHeight="1">
      <c r="A7" s="120" t="s">
        <v>36</v>
      </c>
      <c r="B7" s="121"/>
      <c r="C7" s="16">
        <f>SUM(C8:C18)</f>
        <v>1920419.8</v>
      </c>
      <c r="D7" s="13">
        <v>100</v>
      </c>
      <c r="E7" s="81"/>
    </row>
    <row r="8" spans="1:4" ht="17.25" customHeight="1">
      <c r="A8" s="17">
        <v>1</v>
      </c>
      <c r="B8" s="18" t="s">
        <v>18</v>
      </c>
      <c r="C8" s="19">
        <f>'tab scurt'!E8</f>
        <v>1254.4</v>
      </c>
      <c r="D8" s="19">
        <f>C8/C7*100</f>
        <v>0.06531905159486484</v>
      </c>
    </row>
    <row r="9" spans="1:4" ht="15.75" customHeight="1">
      <c r="A9" s="17">
        <v>2</v>
      </c>
      <c r="B9" s="18" t="s">
        <v>19</v>
      </c>
      <c r="C9" s="19">
        <f>'tab scurt'!E9</f>
        <v>63397.2</v>
      </c>
      <c r="D9" s="19">
        <f>C9/C7*100</f>
        <v>3.301215702941617</v>
      </c>
    </row>
    <row r="10" spans="1:4" ht="28.5" customHeight="1">
      <c r="A10" s="17">
        <v>3</v>
      </c>
      <c r="B10" s="18" t="s">
        <v>20</v>
      </c>
      <c r="C10" s="19">
        <f>'tab scurt'!E10</f>
        <v>1134105</v>
      </c>
      <c r="D10" s="19">
        <f>C10/C7*100</f>
        <v>59.055056607935406</v>
      </c>
    </row>
    <row r="11" spans="1:4" ht="15.75">
      <c r="A11" s="17">
        <v>4</v>
      </c>
      <c r="B11" s="18" t="s">
        <v>21</v>
      </c>
      <c r="C11" s="19">
        <f>'tab scurt'!E11</f>
        <v>16234.7</v>
      </c>
      <c r="D11" s="19">
        <f>C11/C7*D7</f>
        <v>0.8453724545018751</v>
      </c>
    </row>
    <row r="12" spans="1:4" ht="15.75">
      <c r="A12" s="17">
        <v>5</v>
      </c>
      <c r="B12" s="18" t="s">
        <v>22</v>
      </c>
      <c r="C12" s="19">
        <f>'tab scurt'!E12</f>
        <v>91394.1</v>
      </c>
      <c r="D12" s="19">
        <f>C12/C8*D8</f>
        <v>4.759068824430992</v>
      </c>
    </row>
    <row r="13" spans="1:4" ht="15.75">
      <c r="A13" s="17">
        <v>6</v>
      </c>
      <c r="B13" s="18" t="s">
        <v>23</v>
      </c>
      <c r="C13" s="19">
        <f>Лист3!W25</f>
        <v>405.79999999999995</v>
      </c>
      <c r="D13" s="19">
        <f>C13/C9*D9</f>
        <v>0.0211307965060556</v>
      </c>
    </row>
    <row r="14" spans="1:4" ht="15" customHeight="1">
      <c r="A14" s="17">
        <v>8</v>
      </c>
      <c r="B14" s="18" t="s">
        <v>80</v>
      </c>
      <c r="C14" s="19">
        <f>'tab scurt'!E15</f>
        <v>19795.100000000002</v>
      </c>
      <c r="D14" s="19">
        <f>C14/C11*D11</f>
        <v>1.0307694182282439</v>
      </c>
    </row>
    <row r="15" spans="1:4" ht="15.75">
      <c r="A15" s="17">
        <v>9</v>
      </c>
      <c r="B15" s="18" t="s">
        <v>24</v>
      </c>
      <c r="C15" s="19">
        <f>'tab scurt'!E16</f>
        <v>286611.49999999994</v>
      </c>
      <c r="D15" s="19">
        <f>C15/C12*D12</f>
        <v>14.924419129609056</v>
      </c>
    </row>
    <row r="16" spans="1:4" ht="15.75">
      <c r="A16" s="17">
        <v>10</v>
      </c>
      <c r="B16" s="18" t="s">
        <v>25</v>
      </c>
      <c r="C16" s="19">
        <f>Лист3!AC25+'tab scurt'!E14</f>
        <v>226175.19999999995</v>
      </c>
      <c r="D16" s="19">
        <f>C16/C13*D13</f>
        <v>11.777383257556497</v>
      </c>
    </row>
    <row r="17" spans="1:4" ht="15.75">
      <c r="A17" s="17">
        <v>11</v>
      </c>
      <c r="B17" s="18" t="s">
        <v>26</v>
      </c>
      <c r="C17" s="19">
        <f>Лист3!AD25</f>
        <v>78078.4</v>
      </c>
      <c r="D17" s="19">
        <f>C17/C7*D7</f>
        <v>4.065694386196184</v>
      </c>
    </row>
    <row r="18" spans="1:4" ht="15.75">
      <c r="A18" s="17">
        <v>12</v>
      </c>
      <c r="B18" s="18" t="s">
        <v>27</v>
      </c>
      <c r="C18" s="19">
        <f>Лист3!AF25</f>
        <v>2968.4</v>
      </c>
      <c r="D18" s="19">
        <f>C18/C15*D15</f>
        <v>0.15457037049920025</v>
      </c>
    </row>
    <row r="22" spans="1:4" ht="15.75">
      <c r="A22" s="112" t="s">
        <v>28</v>
      </c>
      <c r="B22" s="114" t="s">
        <v>29</v>
      </c>
      <c r="C22" s="116" t="s">
        <v>77</v>
      </c>
      <c r="D22" s="117"/>
    </row>
    <row r="23" spans="1:4" ht="15.75">
      <c r="A23" s="113"/>
      <c r="B23" s="115"/>
      <c r="C23" s="13" t="s">
        <v>31</v>
      </c>
      <c r="D23" s="13" t="s">
        <v>32</v>
      </c>
    </row>
    <row r="24" spans="1:4" ht="12.75">
      <c r="A24" s="118">
        <v>1</v>
      </c>
      <c r="B24" s="119"/>
      <c r="C24" s="14">
        <v>4</v>
      </c>
      <c r="D24" s="15">
        <v>5</v>
      </c>
    </row>
    <row r="25" spans="1:4" ht="15.75">
      <c r="A25" s="120" t="s">
        <v>36</v>
      </c>
      <c r="B25" s="121"/>
      <c r="C25" s="20">
        <f>SUM(C26:C34)</f>
        <v>1920419.7999999996</v>
      </c>
      <c r="D25" s="13">
        <v>100</v>
      </c>
    </row>
    <row r="26" spans="1:4" ht="15.75">
      <c r="A26" s="17">
        <v>3</v>
      </c>
      <c r="B26" s="18" t="s">
        <v>20</v>
      </c>
      <c r="C26" s="21">
        <f>C10</f>
        <v>1134105</v>
      </c>
      <c r="D26" s="19">
        <f>C26/C25*D25</f>
        <v>59.05505660793542</v>
      </c>
    </row>
    <row r="27" spans="1:4" ht="15.75">
      <c r="A27" s="17">
        <v>1</v>
      </c>
      <c r="B27" s="18" t="s">
        <v>18</v>
      </c>
      <c r="C27" s="21">
        <f>C8</f>
        <v>1254.4</v>
      </c>
      <c r="D27" s="19">
        <f>C27/C31*D31</f>
        <v>0.06531905159486484</v>
      </c>
    </row>
    <row r="28" spans="1:4" ht="15.75">
      <c r="A28" s="17">
        <v>5</v>
      </c>
      <c r="B28" s="18" t="s">
        <v>38</v>
      </c>
      <c r="C28" s="21">
        <f>C12+C14+C13</f>
        <v>111595.00000000001</v>
      </c>
      <c r="D28" s="19">
        <f>C28/C30*D30</f>
        <v>5.810969039165293</v>
      </c>
    </row>
    <row r="29" spans="1:4" ht="31.5">
      <c r="A29" s="17">
        <v>2</v>
      </c>
      <c r="B29" s="18" t="s">
        <v>19</v>
      </c>
      <c r="C29" s="21">
        <f>C9</f>
        <v>63397.2</v>
      </c>
      <c r="D29" s="19">
        <f>C29/C28*D28</f>
        <v>3.301215702941618</v>
      </c>
    </row>
    <row r="30" spans="1:4" ht="15.75">
      <c r="A30" s="17">
        <v>10</v>
      </c>
      <c r="B30" s="18" t="s">
        <v>25</v>
      </c>
      <c r="C30" s="21">
        <f>C16</f>
        <v>226175.19999999995</v>
      </c>
      <c r="D30" s="19">
        <f>C30/C32*D32</f>
        <v>11.7773832575565</v>
      </c>
    </row>
    <row r="31" spans="1:4" ht="15.75">
      <c r="A31" s="17">
        <v>13</v>
      </c>
      <c r="B31" s="18" t="s">
        <v>27</v>
      </c>
      <c r="C31" s="21">
        <f>C18</f>
        <v>2968.4</v>
      </c>
      <c r="D31" s="19">
        <f>C31/C33*D33</f>
        <v>0.15457037049920025</v>
      </c>
    </row>
    <row r="32" spans="1:4" ht="15.75">
      <c r="A32" s="17">
        <v>9</v>
      </c>
      <c r="B32" s="18" t="s">
        <v>24</v>
      </c>
      <c r="C32" s="21">
        <f>C15</f>
        <v>286611.49999999994</v>
      </c>
      <c r="D32" s="19">
        <f>C32/C26*D26</f>
        <v>14.924419129609058</v>
      </c>
    </row>
    <row r="33" spans="1:4" ht="15.75">
      <c r="A33" s="17">
        <v>11</v>
      </c>
      <c r="B33" s="18" t="s">
        <v>26</v>
      </c>
      <c r="C33" s="21">
        <f>C17</f>
        <v>78078.4</v>
      </c>
      <c r="D33" s="19">
        <f>C33/C29*D29</f>
        <v>4.065694386196185</v>
      </c>
    </row>
    <row r="34" spans="1:4" ht="15.75">
      <c r="A34" s="17">
        <v>4</v>
      </c>
      <c r="B34" s="18" t="s">
        <v>21</v>
      </c>
      <c r="C34" s="21">
        <f>C11</f>
        <v>16234.7</v>
      </c>
      <c r="D34" s="19">
        <f>C34/C27*D27</f>
        <v>0.8453724545018751</v>
      </c>
    </row>
  </sheetData>
  <sheetProtection/>
  <mergeCells count="11">
    <mergeCell ref="A25:B25"/>
    <mergeCell ref="A6:B6"/>
    <mergeCell ref="A7:B7"/>
    <mergeCell ref="A22:A23"/>
    <mergeCell ref="B22:B23"/>
    <mergeCell ref="B2:D2"/>
    <mergeCell ref="A4:A5"/>
    <mergeCell ref="B4:B5"/>
    <mergeCell ref="C4:D4"/>
    <mergeCell ref="C22:D22"/>
    <mergeCell ref="A24:B2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 cozma</cp:lastModifiedBy>
  <cp:lastPrinted>2017-07-05T08:32:05Z</cp:lastPrinted>
  <dcterms:created xsi:type="dcterms:W3CDTF">1996-10-08T23:32:33Z</dcterms:created>
  <dcterms:modified xsi:type="dcterms:W3CDTF">2019-06-12T06:54:57Z</dcterms:modified>
  <cp:category/>
  <cp:version/>
  <cp:contentType/>
  <cp:contentStatus/>
</cp:coreProperties>
</file>