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3" sheetId="1" r:id="rId1"/>
  </sheets>
  <definedNames>
    <definedName name="_xlnm.Print_Area" localSheetId="0">'Лист3'!$A$1:$T$36</definedName>
  </definedNames>
  <calcPr fullCalcOnLoad="1"/>
</workbook>
</file>

<file path=xl/sharedStrings.xml><?xml version="1.0" encoding="utf-8"?>
<sst xmlns="http://schemas.openxmlformats.org/spreadsheetml/2006/main" count="51" uniqueCount="48">
  <si>
    <t>Nr. d/o</t>
  </si>
  <si>
    <t>Denumirea</t>
  </si>
  <si>
    <t>1</t>
  </si>
  <si>
    <t>2</t>
  </si>
  <si>
    <t>S.A."Business incubator Alfa"</t>
  </si>
  <si>
    <t>3</t>
  </si>
  <si>
    <t>4</t>
  </si>
  <si>
    <t>S.A."Mina din Chişinău"</t>
  </si>
  <si>
    <t>5</t>
  </si>
  <si>
    <t>S.A."Combinatul auto nr.4"</t>
  </si>
  <si>
    <t>6</t>
  </si>
  <si>
    <t>S.A."Edilitate"</t>
  </si>
  <si>
    <t>7</t>
  </si>
  <si>
    <t>8</t>
  </si>
  <si>
    <t>S.A."Moda"</t>
  </si>
  <si>
    <t>9</t>
  </si>
  <si>
    <t>S.A."Taxi-service"</t>
  </si>
  <si>
    <t>10</t>
  </si>
  <si>
    <t>S.A."Agenţia municipală de ipotecă din Chişinău"</t>
  </si>
  <si>
    <t>S.A."Franzeluţa"</t>
  </si>
  <si>
    <t>TOTAL</t>
  </si>
  <si>
    <t>(mii lei)</t>
  </si>
  <si>
    <t xml:space="preserve">Informația privind creanțele și datoriile societăților pe acțiuni </t>
  </si>
  <si>
    <t>Anexa nr. 5.1</t>
  </si>
  <si>
    <t>Durata de colectare a creanțelor, zile</t>
  </si>
  <si>
    <t>S.A. "Apă-Canal Chişinău"</t>
  </si>
  <si>
    <t>Aba-  terea,         +/-</t>
  </si>
  <si>
    <t>Aba-   terea,     +/-</t>
  </si>
  <si>
    <t>Aba-   terea,   +/-</t>
  </si>
  <si>
    <t>18</t>
  </si>
  <si>
    <t>31.12.   2017</t>
  </si>
  <si>
    <t>S.A.„Autocomtrans”</t>
  </si>
  <si>
    <t>31.12.   2018</t>
  </si>
  <si>
    <t xml:space="preserve"> 31.12.   2017</t>
  </si>
  <si>
    <t>31.12.  2018</t>
  </si>
  <si>
    <t>31.12    .2017</t>
  </si>
  <si>
    <t>31.12.2018</t>
  </si>
  <si>
    <t>31.12.    2018</t>
  </si>
  <si>
    <t xml:space="preserve">Creanțe la situația din </t>
  </si>
  <si>
    <t xml:space="preserve">Datorii la situația din </t>
  </si>
  <si>
    <t xml:space="preserve"> Datorii față de bugetul public național la situația din</t>
  </si>
  <si>
    <t xml:space="preserve">Credite bancare  la situația din  </t>
  </si>
  <si>
    <t xml:space="preserve">Împrumuturi   la situația din    </t>
  </si>
  <si>
    <t xml:space="preserve">Venituri din vânzări, anul 2018,  mii lei  </t>
  </si>
  <si>
    <t>Șef adjunct   al Direcției                                                  Olesea Pșenițchi</t>
  </si>
  <si>
    <t>Abaterea,        +/-</t>
  </si>
  <si>
    <t>Abate-rea, +/-</t>
  </si>
  <si>
    <t>S. Berzoi, 022223699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</si>
</sst>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3" fillId="0" borderId="13" xfId="0" applyNumberFormat="1" applyFont="1" applyFill="1" applyBorder="1" applyAlignment="1">
      <alignment horizontal="center" vertical="center" wrapText="1"/>
    </xf>
    <xf numFmtId="188" fontId="3" fillId="0" borderId="14" xfId="0" applyNumberFormat="1" applyFont="1" applyFill="1" applyBorder="1" applyAlignment="1">
      <alignment/>
    </xf>
    <xf numFmtId="188" fontId="3" fillId="0" borderId="14" xfId="0" applyNumberFormat="1" applyFont="1" applyFill="1" applyBorder="1" applyAlignment="1">
      <alignment wrapText="1"/>
    </xf>
    <xf numFmtId="188" fontId="4" fillId="0" borderId="14" xfId="0" applyNumberFormat="1" applyFont="1" applyFill="1" applyBorder="1" applyAlignment="1">
      <alignment/>
    </xf>
    <xf numFmtId="188" fontId="4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188" fontId="3" fillId="0" borderId="16" xfId="0" applyNumberFormat="1" applyFont="1" applyFill="1" applyBorder="1" applyAlignment="1">
      <alignment/>
    </xf>
    <xf numFmtId="188" fontId="3" fillId="0" borderId="16" xfId="0" applyNumberFormat="1" applyFont="1" applyFill="1" applyBorder="1" applyAlignment="1" quotePrefix="1">
      <alignment horizontal="right"/>
    </xf>
    <xf numFmtId="188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88" fontId="4" fillId="0" borderId="16" xfId="0" applyNumberFormat="1" applyFont="1" applyFill="1" applyBorder="1" applyAlignment="1">
      <alignment horizontal="center"/>
    </xf>
    <xf numFmtId="188" fontId="3" fillId="0" borderId="16" xfId="0" applyNumberFormat="1" applyFont="1" applyFill="1" applyBorder="1" applyAlignment="1">
      <alignment wrapText="1"/>
    </xf>
    <xf numFmtId="188" fontId="4" fillId="0" borderId="16" xfId="0" applyNumberFormat="1" applyFont="1" applyFill="1" applyBorder="1" applyAlignment="1">
      <alignment wrapText="1"/>
    </xf>
    <xf numFmtId="188" fontId="7" fillId="0" borderId="17" xfId="0" applyNumberFormat="1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188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49" fontId="3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zoomScale="115" zoomScaleNormal="115" workbookViewId="0" topLeftCell="A7">
      <selection activeCell="B27" sqref="B27"/>
    </sheetView>
  </sheetViews>
  <sheetFormatPr defaultColWidth="11.140625" defaultRowHeight="15"/>
  <cols>
    <col min="1" max="1" width="4.00390625" style="1" customWidth="1"/>
    <col min="2" max="2" width="16.57421875" style="1" customWidth="1"/>
    <col min="3" max="3" width="17.8515625" style="1" hidden="1" customWidth="1"/>
    <col min="4" max="5" width="8.28125" style="1" customWidth="1"/>
    <col min="6" max="7" width="8.57421875" style="1" customWidth="1"/>
    <col min="8" max="8" width="8.7109375" style="1" customWidth="1"/>
    <col min="9" max="9" width="9.28125" style="1" customWidth="1"/>
    <col min="10" max="11" width="7.421875" style="1" customWidth="1"/>
    <col min="12" max="12" width="8.140625" style="1" customWidth="1"/>
    <col min="13" max="13" width="8.7109375" style="1" customWidth="1"/>
    <col min="14" max="14" width="8.28125" style="1" customWidth="1"/>
    <col min="15" max="15" width="7.8515625" style="1" customWidth="1"/>
    <col min="16" max="16" width="6.28125" style="1" customWidth="1"/>
    <col min="17" max="17" width="5.57421875" style="1" customWidth="1"/>
    <col min="18" max="18" width="7.7109375" style="1" customWidth="1"/>
    <col min="19" max="19" width="10.28125" style="1" customWidth="1"/>
    <col min="20" max="20" width="9.7109375" style="1" customWidth="1"/>
    <col min="21" max="248" width="9.140625" style="1" customWidth="1"/>
    <col min="249" max="249" width="4.00390625" style="1" customWidth="1"/>
    <col min="250" max="250" width="28.00390625" style="1" customWidth="1"/>
    <col min="251" max="251" width="0" style="1" hidden="1" customWidth="1"/>
    <col min="252" max="252" width="11.28125" style="1" customWidth="1"/>
    <col min="253" max="254" width="9.7109375" style="1" customWidth="1"/>
    <col min="255" max="255" width="7.00390625" style="1" customWidth="1"/>
    <col min="256" max="16384" width="11.140625" style="1" customWidth="1"/>
  </cols>
  <sheetData>
    <row r="1" spans="1:17" ht="12.75">
      <c r="A1" s="45"/>
      <c r="B1" s="45"/>
      <c r="C1" s="45"/>
      <c r="D1" s="45"/>
      <c r="E1" s="45"/>
      <c r="F1" s="45"/>
      <c r="G1" s="45"/>
      <c r="H1" s="45"/>
      <c r="I1" s="45"/>
      <c r="Q1" s="1" t="s">
        <v>23</v>
      </c>
    </row>
    <row r="2" spans="1:20" ht="12.7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19" ht="12" customHeight="1" thickBot="1">
      <c r="A3" s="2"/>
      <c r="B3" s="2"/>
      <c r="C3" s="2"/>
      <c r="D3" s="2"/>
      <c r="E3" s="2"/>
      <c r="F3" s="2"/>
      <c r="G3" s="2"/>
      <c r="H3" s="2"/>
      <c r="M3" s="3"/>
      <c r="N3" s="3"/>
      <c r="O3" s="3"/>
      <c r="P3" s="3"/>
      <c r="R3" s="3"/>
      <c r="S3" s="3" t="s">
        <v>21</v>
      </c>
    </row>
    <row r="4" spans="1:20" s="4" customFormat="1" ht="49.5" customHeight="1">
      <c r="A4" s="46" t="s">
        <v>0</v>
      </c>
      <c r="B4" s="49" t="s">
        <v>1</v>
      </c>
      <c r="C4" s="49"/>
      <c r="D4" s="49" t="s">
        <v>38</v>
      </c>
      <c r="E4" s="49"/>
      <c r="F4" s="49"/>
      <c r="G4" s="49" t="s">
        <v>39</v>
      </c>
      <c r="H4" s="49"/>
      <c r="I4" s="49"/>
      <c r="J4" s="39" t="s">
        <v>40</v>
      </c>
      <c r="K4" s="39"/>
      <c r="L4" s="39"/>
      <c r="M4" s="39" t="s">
        <v>41</v>
      </c>
      <c r="N4" s="39"/>
      <c r="O4" s="39"/>
      <c r="P4" s="39" t="s">
        <v>42</v>
      </c>
      <c r="Q4" s="39"/>
      <c r="R4" s="39"/>
      <c r="S4" s="39" t="s">
        <v>43</v>
      </c>
      <c r="T4" s="51" t="s">
        <v>24</v>
      </c>
    </row>
    <row r="5" spans="1:20" s="4" customFormat="1" ht="93" customHeight="1" hidden="1" thickBot="1">
      <c r="A5" s="47"/>
      <c r="B5" s="41"/>
      <c r="C5" s="41"/>
      <c r="D5" s="41" t="s">
        <v>30</v>
      </c>
      <c r="E5" s="41" t="s">
        <v>32</v>
      </c>
      <c r="F5" s="41" t="s">
        <v>45</v>
      </c>
      <c r="G5" s="41" t="s">
        <v>33</v>
      </c>
      <c r="H5" s="41" t="s">
        <v>34</v>
      </c>
      <c r="I5" s="41" t="s">
        <v>26</v>
      </c>
      <c r="J5" s="40"/>
      <c r="K5" s="40"/>
      <c r="L5" s="40"/>
      <c r="M5" s="40"/>
      <c r="N5" s="40"/>
      <c r="O5" s="40"/>
      <c r="P5" s="40"/>
      <c r="Q5" s="40"/>
      <c r="R5" s="40"/>
      <c r="S5" s="40"/>
      <c r="T5" s="52"/>
    </row>
    <row r="6" spans="1:20" s="4" customFormat="1" ht="59.25" customHeight="1" thickBot="1">
      <c r="A6" s="48"/>
      <c r="B6" s="42"/>
      <c r="C6" s="42"/>
      <c r="D6" s="42"/>
      <c r="E6" s="42"/>
      <c r="F6" s="42"/>
      <c r="G6" s="42"/>
      <c r="H6" s="42"/>
      <c r="I6" s="42"/>
      <c r="J6" s="31" t="s">
        <v>30</v>
      </c>
      <c r="K6" s="31" t="s">
        <v>32</v>
      </c>
      <c r="L6" s="31" t="s">
        <v>27</v>
      </c>
      <c r="M6" s="32" t="s">
        <v>30</v>
      </c>
      <c r="N6" s="32" t="s">
        <v>37</v>
      </c>
      <c r="O6" s="33" t="s">
        <v>28</v>
      </c>
      <c r="P6" s="32" t="s">
        <v>35</v>
      </c>
      <c r="Q6" s="32" t="s">
        <v>36</v>
      </c>
      <c r="R6" s="33" t="s">
        <v>46</v>
      </c>
      <c r="S6" s="50"/>
      <c r="T6" s="53"/>
    </row>
    <row r="7" spans="1:20" s="10" customFormat="1" ht="13.5" thickBot="1">
      <c r="A7" s="5">
        <v>1</v>
      </c>
      <c r="B7" s="54">
        <v>2</v>
      </c>
      <c r="C7" s="54"/>
      <c r="D7" s="6">
        <v>3</v>
      </c>
      <c r="E7" s="6">
        <v>4</v>
      </c>
      <c r="F7" s="6">
        <v>5</v>
      </c>
      <c r="G7" s="6">
        <v>7</v>
      </c>
      <c r="H7" s="6">
        <v>8</v>
      </c>
      <c r="I7" s="6">
        <v>9</v>
      </c>
      <c r="J7" s="7">
        <v>10</v>
      </c>
      <c r="K7" s="7">
        <v>11</v>
      </c>
      <c r="L7" s="7">
        <v>12</v>
      </c>
      <c r="M7" s="7">
        <v>14</v>
      </c>
      <c r="N7" s="7">
        <v>15</v>
      </c>
      <c r="O7" s="7">
        <v>16</v>
      </c>
      <c r="P7" s="7">
        <v>17</v>
      </c>
      <c r="Q7" s="8" t="s">
        <v>29</v>
      </c>
      <c r="R7" s="7">
        <v>19</v>
      </c>
      <c r="S7" s="7">
        <v>20</v>
      </c>
      <c r="T7" s="9">
        <v>21</v>
      </c>
    </row>
    <row r="8" spans="1:20" ht="27.75" customHeight="1">
      <c r="A8" s="11" t="s">
        <v>2</v>
      </c>
      <c r="B8" s="55" t="s">
        <v>25</v>
      </c>
      <c r="C8" s="55"/>
      <c r="D8" s="12">
        <f>87991.3+4.2+29243.6+1707+806.1+26484.1+5062.6</f>
        <v>151298.90000000002</v>
      </c>
      <c r="E8" s="13">
        <f>85732.34+88410.04+2470.043+1026.614+28486.48</f>
        <v>206125.51700000002</v>
      </c>
      <c r="F8" s="12">
        <f>E8-D8</f>
        <v>54826.617</v>
      </c>
      <c r="G8" s="12">
        <f>172339.8+131682.1</f>
        <v>304021.9</v>
      </c>
      <c r="H8" s="12">
        <f>221084.448+137161.228</f>
        <v>358245.676</v>
      </c>
      <c r="I8" s="12">
        <f>H8-G8</f>
        <v>54223.775999999954</v>
      </c>
      <c r="J8" s="14">
        <f>4310+4684.4</f>
        <v>8994.4</v>
      </c>
      <c r="K8" s="14">
        <f>3738.918+1080.816</f>
        <v>4819.734</v>
      </c>
      <c r="L8" s="14">
        <f aca="true" t="shared" si="0" ref="L8:L17">K8-J8</f>
        <v>-4174.665999999999</v>
      </c>
      <c r="M8" s="14">
        <f>172339.8+43661.6</f>
        <v>216001.4</v>
      </c>
      <c r="N8" s="14">
        <f>197466.218+35730.474</f>
        <v>233196.69199999998</v>
      </c>
      <c r="O8" s="15">
        <f>N8-M8</f>
        <v>17195.291999999987</v>
      </c>
      <c r="P8" s="14">
        <v>0</v>
      </c>
      <c r="Q8" s="14">
        <v>0</v>
      </c>
      <c r="R8" s="14">
        <f aca="true" t="shared" si="1" ref="R8:R14">Q8-P8</f>
        <v>0</v>
      </c>
      <c r="S8" s="12">
        <v>665782.725</v>
      </c>
      <c r="T8" s="34">
        <f>(D8+E8)/2*360/S8</f>
        <v>96.63271912019046</v>
      </c>
    </row>
    <row r="9" spans="1:20" ht="28.5" customHeight="1">
      <c r="A9" s="16" t="s">
        <v>3</v>
      </c>
      <c r="B9" s="38" t="s">
        <v>4</v>
      </c>
      <c r="C9" s="38"/>
      <c r="D9" s="18">
        <v>0.2</v>
      </c>
      <c r="E9" s="18">
        <v>0.2</v>
      </c>
      <c r="F9" s="18">
        <f aca="true" t="shared" si="2" ref="F9:F17">E9-D9</f>
        <v>0</v>
      </c>
      <c r="G9" s="19">
        <f>244.3</f>
        <v>244.3</v>
      </c>
      <c r="H9" s="19">
        <v>264.304</v>
      </c>
      <c r="I9" s="18">
        <f aca="true" t="shared" si="3" ref="I9:I17">H9-G9</f>
        <v>20.003999999999962</v>
      </c>
      <c r="J9" s="20">
        <v>163</v>
      </c>
      <c r="K9" s="20">
        <v>183.068</v>
      </c>
      <c r="L9" s="21">
        <f t="shared" si="0"/>
        <v>20.068000000000012</v>
      </c>
      <c r="M9" s="21">
        <v>0</v>
      </c>
      <c r="N9" s="21">
        <v>0</v>
      </c>
      <c r="O9" s="22">
        <f aca="true" t="shared" si="4" ref="O9:O17">N9-M9</f>
        <v>0</v>
      </c>
      <c r="P9" s="20">
        <v>0</v>
      </c>
      <c r="Q9" s="20">
        <v>0</v>
      </c>
      <c r="R9" s="20">
        <f t="shared" si="1"/>
        <v>0</v>
      </c>
      <c r="S9" s="18">
        <v>0</v>
      </c>
      <c r="T9" s="34"/>
    </row>
    <row r="10" spans="1:20" ht="27" customHeight="1">
      <c r="A10" s="16" t="s">
        <v>5</v>
      </c>
      <c r="B10" s="38" t="s">
        <v>7</v>
      </c>
      <c r="C10" s="38"/>
      <c r="D10" s="18">
        <f>78.1+48.2+37.6</f>
        <v>163.9</v>
      </c>
      <c r="E10" s="18">
        <f>12.2+31.5+34.3</f>
        <v>78</v>
      </c>
      <c r="F10" s="18">
        <f t="shared" si="2"/>
        <v>-85.9</v>
      </c>
      <c r="G10" s="18">
        <v>1460.1</v>
      </c>
      <c r="H10" s="18">
        <v>867.9</v>
      </c>
      <c r="I10" s="18">
        <f t="shared" si="3"/>
        <v>-592.1999999999999</v>
      </c>
      <c r="J10" s="20">
        <f>555+184.6</f>
        <v>739.6</v>
      </c>
      <c r="K10" s="20">
        <f>32.3+18.5</f>
        <v>50.8</v>
      </c>
      <c r="L10" s="20">
        <f t="shared" si="0"/>
        <v>-688.8000000000001</v>
      </c>
      <c r="M10" s="20">
        <v>0</v>
      </c>
      <c r="N10" s="20">
        <v>0</v>
      </c>
      <c r="O10" s="22">
        <f t="shared" si="4"/>
        <v>0</v>
      </c>
      <c r="P10" s="20">
        <v>0</v>
      </c>
      <c r="Q10" s="20">
        <v>0</v>
      </c>
      <c r="R10" s="20">
        <f t="shared" si="1"/>
        <v>0</v>
      </c>
      <c r="S10" s="18">
        <v>1295.4</v>
      </c>
      <c r="T10" s="35">
        <f aca="true" t="shared" si="5" ref="T10:T18">(D10+E10)/2*360/S10</f>
        <v>33.612783696155624</v>
      </c>
    </row>
    <row r="11" spans="1:20" ht="27" customHeight="1">
      <c r="A11" s="16" t="s">
        <v>6</v>
      </c>
      <c r="B11" s="38" t="s">
        <v>9</v>
      </c>
      <c r="C11" s="38"/>
      <c r="D11" s="18">
        <f>467.3+25.6+5.8+22.1+987.6</f>
        <v>1508.4</v>
      </c>
      <c r="E11" s="23">
        <f>417.013+7.603+10.824+19.483+915.089</f>
        <v>1370.0120000000002</v>
      </c>
      <c r="F11" s="18">
        <f t="shared" si="2"/>
        <v>-138.38799999999992</v>
      </c>
      <c r="G11" s="18">
        <v>1253</v>
      </c>
      <c r="H11" s="18">
        <v>1048.574</v>
      </c>
      <c r="I11" s="18">
        <f t="shared" si="3"/>
        <v>-204.42599999999993</v>
      </c>
      <c r="J11" s="21">
        <f>152.4+188.9</f>
        <v>341.3</v>
      </c>
      <c r="K11" s="21">
        <f>107.824+137.352</f>
        <v>245.176</v>
      </c>
      <c r="L11" s="21">
        <f t="shared" si="0"/>
        <v>-96.12400000000002</v>
      </c>
      <c r="M11" s="20">
        <v>0</v>
      </c>
      <c r="N11" s="20">
        <v>0</v>
      </c>
      <c r="O11" s="22">
        <f t="shared" si="4"/>
        <v>0</v>
      </c>
      <c r="P11" s="20">
        <v>0</v>
      </c>
      <c r="Q11" s="20">
        <v>0</v>
      </c>
      <c r="R11" s="20">
        <f t="shared" si="1"/>
        <v>0</v>
      </c>
      <c r="S11" s="18">
        <v>9005.333</v>
      </c>
      <c r="T11" s="35">
        <f t="shared" si="5"/>
        <v>57.53414782107447</v>
      </c>
    </row>
    <row r="12" spans="1:20" ht="12.75">
      <c r="A12" s="16" t="s">
        <v>8</v>
      </c>
      <c r="B12" s="38" t="s">
        <v>11</v>
      </c>
      <c r="C12" s="38"/>
      <c r="D12" s="18">
        <f>1584.8+555.9+2.3+96+2206.8</f>
        <v>4445.8</v>
      </c>
      <c r="E12" s="18">
        <f>2439.3+566.5+79+67.7+2688.8</f>
        <v>5841.3</v>
      </c>
      <c r="F12" s="18">
        <f t="shared" si="2"/>
        <v>1395.5</v>
      </c>
      <c r="G12" s="18">
        <v>5745.3</v>
      </c>
      <c r="H12" s="18">
        <v>5677.1</v>
      </c>
      <c r="I12" s="18">
        <f t="shared" si="3"/>
        <v>-68.19999999999982</v>
      </c>
      <c r="J12" s="20">
        <f>391.7+491.2</f>
        <v>882.9</v>
      </c>
      <c r="K12" s="20">
        <f>50.3+499.2</f>
        <v>549.5</v>
      </c>
      <c r="L12" s="20">
        <f t="shared" si="0"/>
        <v>-333.4</v>
      </c>
      <c r="M12" s="20">
        <v>0</v>
      </c>
      <c r="N12" s="20">
        <v>0</v>
      </c>
      <c r="O12" s="22">
        <f t="shared" si="4"/>
        <v>0</v>
      </c>
      <c r="P12" s="20">
        <v>0</v>
      </c>
      <c r="Q12" s="20">
        <v>0</v>
      </c>
      <c r="R12" s="20">
        <f t="shared" si="1"/>
        <v>0</v>
      </c>
      <c r="S12" s="18">
        <v>40697.2</v>
      </c>
      <c r="T12" s="35">
        <f t="shared" si="5"/>
        <v>45.498904101510675</v>
      </c>
    </row>
    <row r="13" spans="1:20" ht="12.75">
      <c r="A13" s="16" t="s">
        <v>10</v>
      </c>
      <c r="B13" s="38" t="s">
        <v>14</v>
      </c>
      <c r="C13" s="38"/>
      <c r="D13" s="18">
        <f>102.5+8+1.3+124.4</f>
        <v>236.2</v>
      </c>
      <c r="E13" s="23">
        <f>74.118+8+21.2+1.07+41.8</f>
        <v>146.188</v>
      </c>
      <c r="F13" s="18">
        <f t="shared" si="2"/>
        <v>-90.012</v>
      </c>
      <c r="G13" s="18">
        <v>2599.1</v>
      </c>
      <c r="H13" s="18">
        <v>2442.548</v>
      </c>
      <c r="I13" s="18">
        <f t="shared" si="3"/>
        <v>-156.55200000000013</v>
      </c>
      <c r="J13" s="21">
        <v>150.5</v>
      </c>
      <c r="K13" s="24">
        <f>196.039+0.522</f>
        <v>196.56099999999998</v>
      </c>
      <c r="L13" s="20">
        <f t="shared" si="0"/>
        <v>46.06099999999998</v>
      </c>
      <c r="M13" s="20">
        <v>0</v>
      </c>
      <c r="N13" s="20">
        <v>0</v>
      </c>
      <c r="O13" s="22">
        <f t="shared" si="4"/>
        <v>0</v>
      </c>
      <c r="P13" s="20">
        <v>0</v>
      </c>
      <c r="Q13" s="20">
        <v>0</v>
      </c>
      <c r="R13" s="20">
        <f>Q13-P13</f>
        <v>0</v>
      </c>
      <c r="S13" s="18">
        <v>11494.561</v>
      </c>
      <c r="T13" s="35">
        <f t="shared" si="5"/>
        <v>5.988035558730777</v>
      </c>
    </row>
    <row r="14" spans="1:20" ht="21" customHeight="1">
      <c r="A14" s="16" t="s">
        <v>12</v>
      </c>
      <c r="B14" s="38" t="s">
        <v>16</v>
      </c>
      <c r="C14" s="38"/>
      <c r="D14" s="18">
        <f>98.8+12.5+32.2+182.4</f>
        <v>325.9</v>
      </c>
      <c r="E14" s="23">
        <f>228.868+13.869+4.055+196.587+0.244</f>
        <v>443.62300000000005</v>
      </c>
      <c r="F14" s="18">
        <f t="shared" si="2"/>
        <v>117.72300000000007</v>
      </c>
      <c r="G14" s="18">
        <v>61.3</v>
      </c>
      <c r="H14" s="18">
        <v>93.4</v>
      </c>
      <c r="I14" s="18">
        <f t="shared" si="3"/>
        <v>32.10000000000001</v>
      </c>
      <c r="J14" s="21">
        <v>30</v>
      </c>
      <c r="K14" s="20">
        <v>46.133</v>
      </c>
      <c r="L14" s="20">
        <f t="shared" si="0"/>
        <v>16.133000000000003</v>
      </c>
      <c r="M14" s="21">
        <v>0</v>
      </c>
      <c r="N14" s="21">
        <v>0</v>
      </c>
      <c r="O14" s="22">
        <f t="shared" si="4"/>
        <v>0</v>
      </c>
      <c r="P14" s="20">
        <v>0</v>
      </c>
      <c r="Q14" s="20">
        <v>0</v>
      </c>
      <c r="R14" s="20">
        <f t="shared" si="1"/>
        <v>0</v>
      </c>
      <c r="S14" s="18">
        <v>2864.475</v>
      </c>
      <c r="T14" s="35">
        <f>(D14+E14)/2*360/S14</f>
        <v>48.355855785091514</v>
      </c>
    </row>
    <row r="15" spans="1:20" ht="39.75" customHeight="1">
      <c r="A15" s="16" t="s">
        <v>13</v>
      </c>
      <c r="B15" s="38" t="s">
        <v>18</v>
      </c>
      <c r="C15" s="38"/>
      <c r="D15" s="18">
        <f>2097.2+236.4+2839.9+6.8+844.6+4121.9</f>
        <v>10146.8</v>
      </c>
      <c r="E15" s="18">
        <f>2328.444+2899+1477.928+12.087+922.113</f>
        <v>7639.572</v>
      </c>
      <c r="F15" s="18">
        <f t="shared" si="2"/>
        <v>-2507.227999999999</v>
      </c>
      <c r="G15" s="18">
        <f>70567.6+26893.6</f>
        <v>97461.20000000001</v>
      </c>
      <c r="H15" s="18">
        <f>64121.126+19836.643</f>
        <v>83957.769</v>
      </c>
      <c r="I15" s="18">
        <f t="shared" si="3"/>
        <v>-13503.431000000011</v>
      </c>
      <c r="J15" s="20">
        <f>49.4+641.9</f>
        <v>691.3</v>
      </c>
      <c r="K15" s="20">
        <f>22.647+142.36</f>
        <v>165.007</v>
      </c>
      <c r="L15" s="20">
        <f t="shared" si="0"/>
        <v>-526.2929999999999</v>
      </c>
      <c r="M15" s="20">
        <f>6720+8750</f>
        <v>15470</v>
      </c>
      <c r="N15" s="20">
        <f>6250+15000</f>
        <v>21250</v>
      </c>
      <c r="O15" s="22">
        <f t="shared" si="4"/>
        <v>5780</v>
      </c>
      <c r="P15" s="20">
        <v>0</v>
      </c>
      <c r="Q15" s="20">
        <v>0</v>
      </c>
      <c r="R15" s="20">
        <f>Q15-P15</f>
        <v>0</v>
      </c>
      <c r="S15" s="18">
        <v>35985.054</v>
      </c>
      <c r="T15" s="35">
        <f t="shared" si="5"/>
        <v>88.96879687883754</v>
      </c>
    </row>
    <row r="16" spans="1:20" ht="12.75">
      <c r="A16" s="16" t="s">
        <v>15</v>
      </c>
      <c r="B16" s="38" t="s">
        <v>19</v>
      </c>
      <c r="C16" s="38"/>
      <c r="D16" s="18">
        <f>21694.9+6526.2+4638.3+777.9+14918.8</f>
        <v>48556.100000000006</v>
      </c>
      <c r="E16" s="23">
        <f>22770.129+11421.965+2491.923+84.828+6146.393</f>
        <v>42915.238</v>
      </c>
      <c r="F16" s="18">
        <f t="shared" si="2"/>
        <v>-5640.862000000008</v>
      </c>
      <c r="G16" s="18">
        <f>22196.6+70615.5</f>
        <v>92812.1</v>
      </c>
      <c r="H16" s="18">
        <f>9098.62+68860.463</f>
        <v>77959.083</v>
      </c>
      <c r="I16" s="18">
        <f t="shared" si="3"/>
        <v>-14853.017000000007</v>
      </c>
      <c r="J16" s="20">
        <f>613.2+4874.3</f>
        <v>5487.5</v>
      </c>
      <c r="K16" s="20">
        <f>1335.598+1813.784</f>
        <v>3149.382</v>
      </c>
      <c r="L16" s="20">
        <f t="shared" si="0"/>
        <v>-2338.118</v>
      </c>
      <c r="M16" s="20">
        <f>22196.6+12683.8</f>
        <v>34880.399999999994</v>
      </c>
      <c r="N16" s="20">
        <f>9098.62+12131.492</f>
        <v>21230.112</v>
      </c>
      <c r="O16" s="22">
        <f t="shared" si="4"/>
        <v>-13650.287999999993</v>
      </c>
      <c r="P16" s="20">
        <v>0</v>
      </c>
      <c r="Q16" s="20">
        <v>0</v>
      </c>
      <c r="R16" s="20">
        <f>Q16-P16</f>
        <v>0</v>
      </c>
      <c r="S16" s="18">
        <v>604156.268</v>
      </c>
      <c r="T16" s="35">
        <f t="shared" si="5"/>
        <v>27.25261941667052</v>
      </c>
    </row>
    <row r="17" spans="1:20" ht="21" customHeight="1" thickBot="1">
      <c r="A17" s="16" t="s">
        <v>17</v>
      </c>
      <c r="B17" s="17" t="s">
        <v>31</v>
      </c>
      <c r="C17" s="17"/>
      <c r="D17" s="18">
        <f>1397.9+3.8+2+65.1+3</f>
        <v>1471.8</v>
      </c>
      <c r="E17" s="25">
        <f>554.954+2.328+3.901</f>
        <v>561.1829999999999</v>
      </c>
      <c r="F17" s="18">
        <f t="shared" si="2"/>
        <v>-910.6170000000001</v>
      </c>
      <c r="G17" s="18">
        <f>617.2+4580.2</f>
        <v>5197.4</v>
      </c>
      <c r="H17" s="18">
        <v>6997.993</v>
      </c>
      <c r="I17" s="18">
        <f t="shared" si="3"/>
        <v>1800.5930000000008</v>
      </c>
      <c r="J17" s="20">
        <f>47.4+753.2</f>
        <v>800.6</v>
      </c>
      <c r="K17" s="20">
        <f>4.2+637.2</f>
        <v>641.4000000000001</v>
      </c>
      <c r="L17" s="20">
        <f t="shared" si="0"/>
        <v>-159.19999999999993</v>
      </c>
      <c r="M17" s="20">
        <v>0</v>
      </c>
      <c r="N17" s="20">
        <v>0</v>
      </c>
      <c r="O17" s="22">
        <f t="shared" si="4"/>
        <v>0</v>
      </c>
      <c r="P17" s="20">
        <v>63</v>
      </c>
      <c r="Q17" s="20">
        <v>63</v>
      </c>
      <c r="R17" s="20">
        <f>Q17-P17</f>
        <v>0</v>
      </c>
      <c r="S17" s="18">
        <v>47.467</v>
      </c>
      <c r="T17" s="35">
        <f t="shared" si="5"/>
        <v>7709.2915077843545</v>
      </c>
    </row>
    <row r="18" spans="1:20" ht="20.25" customHeight="1" thickBot="1">
      <c r="A18" s="43" t="s">
        <v>20</v>
      </c>
      <c r="B18" s="44"/>
      <c r="C18" s="44"/>
      <c r="D18" s="26">
        <f aca="true" t="shared" si="6" ref="D18:S18">SUM(D8:D17)</f>
        <v>218154</v>
      </c>
      <c r="E18" s="26">
        <f t="shared" si="6"/>
        <v>265120.83300000004</v>
      </c>
      <c r="F18" s="26">
        <f t="shared" si="6"/>
        <v>46966.832999999984</v>
      </c>
      <c r="G18" s="26">
        <f t="shared" si="6"/>
        <v>510855.69999999995</v>
      </c>
      <c r="H18" s="26">
        <f t="shared" si="6"/>
        <v>537554.3470000001</v>
      </c>
      <c r="I18" s="26">
        <f t="shared" si="6"/>
        <v>26698.64699999994</v>
      </c>
      <c r="J18" s="26">
        <f t="shared" si="6"/>
        <v>18281.1</v>
      </c>
      <c r="K18" s="26">
        <f t="shared" si="6"/>
        <v>10046.761</v>
      </c>
      <c r="L18" s="26">
        <f t="shared" si="6"/>
        <v>-8234.339</v>
      </c>
      <c r="M18" s="26">
        <f t="shared" si="6"/>
        <v>266351.8</v>
      </c>
      <c r="N18" s="26">
        <f t="shared" si="6"/>
        <v>275676.804</v>
      </c>
      <c r="O18" s="26">
        <f t="shared" si="6"/>
        <v>9325.003999999994</v>
      </c>
      <c r="P18" s="26">
        <f t="shared" si="6"/>
        <v>63</v>
      </c>
      <c r="Q18" s="26">
        <f t="shared" si="6"/>
        <v>63</v>
      </c>
      <c r="R18" s="26">
        <f t="shared" si="6"/>
        <v>0</v>
      </c>
      <c r="S18" s="26">
        <f t="shared" si="6"/>
        <v>1371328.4829999998</v>
      </c>
      <c r="T18" s="35">
        <f t="shared" si="5"/>
        <v>63.43445135019486</v>
      </c>
    </row>
    <row r="19" spans="1:9" ht="12.75" customHeight="1">
      <c r="A19" s="2"/>
      <c r="B19" s="2"/>
      <c r="C19" s="2"/>
      <c r="D19" s="2"/>
      <c r="E19" s="27"/>
      <c r="F19" s="2"/>
      <c r="G19" s="2"/>
      <c r="H19" s="2"/>
      <c r="I19" s="2"/>
    </row>
    <row r="20" spans="1:8" ht="17.25" customHeight="1">
      <c r="A20" s="28"/>
      <c r="B20" s="28"/>
      <c r="C20" s="28"/>
      <c r="D20" s="28"/>
      <c r="E20" s="28"/>
      <c r="F20" s="28"/>
      <c r="G20" s="28"/>
      <c r="H20" s="28"/>
    </row>
    <row r="21" spans="1:20" ht="24" customHeight="1">
      <c r="A21" s="37" t="s">
        <v>44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</row>
    <row r="22" spans="1:8" ht="12.75">
      <c r="A22" s="29"/>
      <c r="B22" s="29"/>
      <c r="C22" s="29"/>
      <c r="D22" s="29"/>
      <c r="E22" s="29"/>
      <c r="F22" s="29"/>
      <c r="G22" s="29"/>
      <c r="H22" s="29"/>
    </row>
    <row r="23" spans="1:11" ht="15" customHeight="1">
      <c r="A23" s="29"/>
      <c r="B23" s="29"/>
      <c r="C23" s="29"/>
      <c r="D23" s="29"/>
      <c r="E23" s="29"/>
      <c r="F23" s="29"/>
      <c r="G23" s="29"/>
      <c r="H23" s="29"/>
      <c r="J23" s="30"/>
      <c r="K23" s="30"/>
    </row>
    <row r="24" spans="10:11" ht="15" customHeight="1">
      <c r="J24" s="30"/>
      <c r="K24" s="30"/>
    </row>
    <row r="25" spans="10:11" ht="15" customHeight="1"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ht="12.75">
      <c r="B27" s="1" t="s">
        <v>47</v>
      </c>
    </row>
  </sheetData>
  <sheetProtection/>
  <mergeCells count="29">
    <mergeCell ref="S4:S6"/>
    <mergeCell ref="T4:T6"/>
    <mergeCell ref="D5:D6"/>
    <mergeCell ref="E5:E6"/>
    <mergeCell ref="F5:F6"/>
    <mergeCell ref="B10:C10"/>
    <mergeCell ref="B7:C7"/>
    <mergeCell ref="B8:C8"/>
    <mergeCell ref="B9:C9"/>
    <mergeCell ref="A18:C18"/>
    <mergeCell ref="B11:C11"/>
    <mergeCell ref="B12:C12"/>
    <mergeCell ref="B13:C13"/>
    <mergeCell ref="B14:C14"/>
    <mergeCell ref="A1:I1"/>
    <mergeCell ref="A4:A6"/>
    <mergeCell ref="B4:C6"/>
    <mergeCell ref="D4:F4"/>
    <mergeCell ref="G4:I4"/>
    <mergeCell ref="A2:T2"/>
    <mergeCell ref="A21:T21"/>
    <mergeCell ref="B15:C15"/>
    <mergeCell ref="J4:L5"/>
    <mergeCell ref="P4:R5"/>
    <mergeCell ref="M4:O5"/>
    <mergeCell ref="G5:G6"/>
    <mergeCell ref="H5:H6"/>
    <mergeCell ref="I5:I6"/>
    <mergeCell ref="B16:C16"/>
  </mergeCells>
  <printOptions/>
  <pageMargins left="0.7086614173228347" right="0.31496062992125984" top="1.141732283464567" bottom="0.35433070866141736" header="0.31496062992125984" footer="0.31496062992125984"/>
  <pageSetup fitToHeight="0" fitToWidth="1"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2017-07-05T13:00:22Z</cp:lastPrinted>
  <dcterms:created xsi:type="dcterms:W3CDTF">2006-09-28T05:33:49Z</dcterms:created>
  <dcterms:modified xsi:type="dcterms:W3CDTF">2019-07-18T12:31:38Z</dcterms:modified>
  <cp:category/>
  <cp:version/>
  <cp:contentType/>
  <cp:contentStatus/>
</cp:coreProperties>
</file>