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285" windowWidth="20175" windowHeight="4545" tabRatio="749" activeTab="0"/>
  </bookViews>
  <sheets>
    <sheet name="Лист2" sheetId="1" r:id="rId1"/>
    <sheet name="tabel mic act" sheetId="2" r:id="rId2"/>
    <sheet name="diagrama" sheetId="3" r:id="rId3"/>
  </sheets>
  <externalReferences>
    <externalReference r:id="rId6"/>
  </externalReferences>
  <definedNames>
    <definedName name="_xlnm.Print_Area" localSheetId="0">'Лист2'!$A$1:$R$126</definedName>
  </definedNames>
  <calcPr fullCalcOnLoad="1"/>
</workbook>
</file>

<file path=xl/sharedStrings.xml><?xml version="1.0" encoding="utf-8"?>
<sst xmlns="http://schemas.openxmlformats.org/spreadsheetml/2006/main" count="187" uniqueCount="149">
  <si>
    <t>Nr. d/o</t>
  </si>
  <si>
    <t>Denumirea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</si>
  <si>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</si>
  <si>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</si>
  <si>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</si>
  <si>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</si>
  <si>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</si>
  <si>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</si>
  <si>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</si>
  <si>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</si>
  <si>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</si>
  <si>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</si>
  <si>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</si>
  <si>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</si>
  <si>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</si>
  <si>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Total </t>
  </si>
  <si>
    <t>Î.M. "Parcul urban de autobuze"</t>
  </si>
  <si>
    <t>Î.M. "Regia transport electric"</t>
  </si>
  <si>
    <t>Total servicii transport de pasageri</t>
  </si>
  <si>
    <t>Î.M. Institutul municipal de proiectări "Chişinăuproiect"</t>
  </si>
  <si>
    <t>Î.M. Asociaţia de gospodărire a spaţiilor verzi</t>
  </si>
  <si>
    <t>Î.M. "Regia exploatare a drumurilor şi podurilor "Exdrupo"</t>
  </si>
  <si>
    <t>Î.M. Regia Autosalubritate</t>
  </si>
  <si>
    <t>Î.M. Reţelele electrice de iluminat "Lumteh"</t>
  </si>
  <si>
    <t>Î.M. "Piaţa centrală"</t>
  </si>
  <si>
    <t>Î.M. "Liftservice"</t>
  </si>
  <si>
    <t>Î.M. "Infocom"</t>
  </si>
  <si>
    <t>Î.M."Primtrans"</t>
  </si>
  <si>
    <t xml:space="preserve">Î.M. Direcţia construcţii capitale a Primăriei municipiului Chişinău </t>
  </si>
  <si>
    <t>Î.M. Parcul "Dendrariu"</t>
  </si>
  <si>
    <t>Î.M. "Combinatul servicii funerare"</t>
  </si>
  <si>
    <t>Î.M. "Binefăcătorul"</t>
  </si>
  <si>
    <t>Î.M. CCAD "Casa Limbii Române"</t>
  </si>
  <si>
    <t>Î.M. Centrul Lingvistic</t>
  </si>
  <si>
    <t>Total alte servicii</t>
  </si>
  <si>
    <t>Î.M. Teatrul municipal de păpuşi "Guguţă"</t>
  </si>
  <si>
    <t>Î.M. Instituția Națională Teatrul Municipal "Satiricus - Ion Luca  Caragiale"</t>
  </si>
  <si>
    <t>Î.M. "Teatrul unui actor"</t>
  </si>
  <si>
    <t>Î.M.Centrul Naţional de Creaţie "Satul Moldovenesc Buciumul"</t>
  </si>
  <si>
    <t>Î.M. de alimentaţie publică "Dieta-Vitas"</t>
  </si>
  <si>
    <t>Î.S. de alimentaţie publică "Râşcani-SC"</t>
  </si>
  <si>
    <t>Î.S. de alimentaţie publică "Liceist"</t>
  </si>
  <si>
    <t>Î.S. de alimentaţie publică "Adolescenţa"</t>
  </si>
  <si>
    <t>Î.S.  de alimentaţie publică "Bucuria EL"</t>
  </si>
  <si>
    <t>Total alimentaţie publică</t>
  </si>
  <si>
    <t>Î.M. de gestionare a fondului locativ nr.1</t>
  </si>
  <si>
    <t>Î.M. de gestionare a fondului locativ nr.2</t>
  </si>
  <si>
    <t>Î.M. de gestionare a fondului locativ nr.3</t>
  </si>
  <si>
    <t>Î.M. de gestionare a fondului locativ nr.4</t>
  </si>
  <si>
    <t>Î.M. de gestionare a fondului locativ nr.5</t>
  </si>
  <si>
    <t>Î.M. de gestionare a fondului locativ nr.6</t>
  </si>
  <si>
    <t>Î.M. de gestionare a fondului locativ nr.7</t>
  </si>
  <si>
    <t>Î.M. de gestionare a fondului locativ nr.8</t>
  </si>
  <si>
    <t>Î.M. de gestionare a fondului locativ nr.9</t>
  </si>
  <si>
    <t>Î.M. de gestionare a fondului locativ nr.10</t>
  </si>
  <si>
    <t>Î.M. de gestionare a fondului locativ nr.11</t>
  </si>
  <si>
    <t>Î.M. de gestionare a fondului locativ nr.12</t>
  </si>
  <si>
    <t>Î.M. de gestionare a fondului locativ nr.13</t>
  </si>
  <si>
    <t>Î.M. de gestionare a fondului locativ nr.14</t>
  </si>
  <si>
    <t>Î.M. de gestionare a fondului locativ nr.15</t>
  </si>
  <si>
    <t>Î.M. de gestionare a fondului locativ nr.16</t>
  </si>
  <si>
    <t>Î.M. de gestionare a fondului locativ nr.17</t>
  </si>
  <si>
    <t>Î.M. de gestionare a fondului locativ nr.18</t>
  </si>
  <si>
    <t>Î.M. de gestionare a fondului locativ nr.19</t>
  </si>
  <si>
    <t>Î.M. de gestionare a fondului locativ nr.20</t>
  </si>
  <si>
    <t>Î.M. de gestionare a fondului locativ nr.21</t>
  </si>
  <si>
    <t>Î.M. de gestionare a fondului locativ nr.22</t>
  </si>
  <si>
    <t>Î.M. de gestionare a fondului locativ nr.23</t>
  </si>
  <si>
    <t>Î.M. Servicii locative sectorul Râşcani</t>
  </si>
  <si>
    <t>Î.M. Servicii locative sectorul Centru</t>
  </si>
  <si>
    <t>Î.M. Servicii locative sectorul Ciocana</t>
  </si>
  <si>
    <t>Î.M. Servicii locative sectorul Buiucani</t>
  </si>
  <si>
    <t>Î.M. Servicii locative sectorul Botanica</t>
  </si>
  <si>
    <t>Total ÎMGFL și ÎMSL</t>
  </si>
  <si>
    <t>Total Î.M.</t>
  </si>
  <si>
    <t>I.M.S.P. Spitalul clinic municipal nr.1</t>
  </si>
  <si>
    <t>I.M.S.P. Spitalul clinic municipal "Sfântul Arhanghel Mihail"</t>
  </si>
  <si>
    <t>I.M.S.P. Spitalul clinic municipal "Sfânta Treime"</t>
  </si>
  <si>
    <t>I.M.S.P. Spitalul clinic municipal nr.4</t>
  </si>
  <si>
    <t>I.M.S.P. Spitalul clinic municipal de copii "Valentin Ignatenco"</t>
  </si>
  <si>
    <t>I.M.S.P. Spitalul clinic municipal de boli contagioase de copii</t>
  </si>
  <si>
    <t>I.M.S.P. Spitalul clinic municipal de copii nr.1</t>
  </si>
  <si>
    <t>I.M.S.P. Spitalul clinic municipal de ftiziopneumologie</t>
  </si>
  <si>
    <t>I.M.S.P. Maternitatea nr.2</t>
  </si>
  <si>
    <t>I.M.S.P. Centrul stomatologic municipal  de copii</t>
  </si>
  <si>
    <t>I.M.S.P. Dispensarul municipal dermatovenerologic</t>
  </si>
  <si>
    <t>I.M.S.P. Asociaţia Medicală Teritorială Botanica</t>
  </si>
  <si>
    <t>I.M.S.P. Asociaţia Medicală Teritorială Buiucani</t>
  </si>
  <si>
    <t>I.M.S.P. Asociaţia Medicală Teritorială Centru</t>
  </si>
  <si>
    <t>I.M.S.P. Asociaţia Medicală Teritorială Ciocana</t>
  </si>
  <si>
    <t>I.M.S.P. Asociaţia Medicală Teritorială Râşcani</t>
  </si>
  <si>
    <t>ÎM Centrul stomatologic municipal Chșinău</t>
  </si>
  <si>
    <t>TOTAL  Î.M. și I.M.S.P</t>
  </si>
  <si>
    <t>Analiza structurii activelor Î.M./S.A.</t>
  </si>
  <si>
    <t>N d/o</t>
  </si>
  <si>
    <t>Grupurile de active</t>
  </si>
  <si>
    <t>Suma, mii lei</t>
  </si>
  <si>
    <t>Cota, %</t>
  </si>
  <si>
    <t>Cota, p.p.</t>
  </si>
  <si>
    <t>Imobilizări necorporale</t>
  </si>
  <si>
    <t>Imobilizări corporale în curs de execuție</t>
  </si>
  <si>
    <t>Mijloace fixe</t>
  </si>
  <si>
    <t>Terenuri</t>
  </si>
  <si>
    <t>Investiții imobiliare</t>
  </si>
  <si>
    <t>Alte active imobilizate</t>
  </si>
  <si>
    <t>Creanțe pe termen lung</t>
  </si>
  <si>
    <t>Investiții financiare</t>
  </si>
  <si>
    <t>Stocuri</t>
  </si>
  <si>
    <t xml:space="preserve">Creanțe </t>
  </si>
  <si>
    <t>Numerar</t>
  </si>
  <si>
    <t>Alte active circulante</t>
  </si>
  <si>
    <t>Total active</t>
  </si>
  <si>
    <t>6=4-2</t>
  </si>
  <si>
    <t>7=5-3</t>
  </si>
  <si>
    <t>Investiții financiare   pe termen lung</t>
  </si>
  <si>
    <t>(mii lei)</t>
  </si>
  <si>
    <t>Analiza structurii activelor Î.M.</t>
  </si>
  <si>
    <t>Ivestiții imobiliare   pe termen lung</t>
  </si>
  <si>
    <t xml:space="preserve">Șef  adjunct al Direcției </t>
  </si>
  <si>
    <t>Informatie privind structura activelor  întreprinderilor municipale</t>
  </si>
  <si>
    <t>Anexa nr. 6</t>
  </si>
  <si>
    <t>Î.M. "STI”</t>
  </si>
  <si>
    <t>La situația din 31.12.2017</t>
  </si>
  <si>
    <t xml:space="preserve">Șef adjunct   al Direcției </t>
  </si>
  <si>
    <t>La situația din 31.12.2018, inclusiv:</t>
  </si>
  <si>
    <t>Direcția Parcurilor Cultură și Odihna</t>
  </si>
  <si>
    <r>
      <t xml:space="preserve">TOTAL   </t>
    </r>
    <r>
      <rPr>
        <sz val="12"/>
        <rFont val="Times New Roman"/>
        <family val="1"/>
      </rPr>
      <t>servicii medicale</t>
    </r>
  </si>
  <si>
    <t>Olesea Pșenițchi</t>
  </si>
  <si>
    <t xml:space="preserve">imobilizări corporale in curs de execuție </t>
  </si>
  <si>
    <t xml:space="preserve">mijloace fixe </t>
  </si>
  <si>
    <t xml:space="preserve">terenuri </t>
  </si>
  <si>
    <t xml:space="preserve">creanțe pe termen lung </t>
  </si>
  <si>
    <t xml:space="preserve">total active imobilizate </t>
  </si>
  <si>
    <t xml:space="preserve">stocuri  </t>
  </si>
  <si>
    <t xml:space="preserve">creanțe </t>
  </si>
  <si>
    <t xml:space="preserve">numerar </t>
  </si>
  <si>
    <t xml:space="preserve">alte active circulante </t>
  </si>
  <si>
    <t xml:space="preserve">total active circulante </t>
  </si>
  <si>
    <t>La situația din 31.12.2018</t>
  </si>
  <si>
    <t xml:space="preserve">investiții financiare </t>
  </si>
  <si>
    <t xml:space="preserve">investiții imobiliare </t>
  </si>
  <si>
    <t xml:space="preserve">investiții financiare  </t>
  </si>
  <si>
    <t xml:space="preserve">imobilizări necor-porale </t>
  </si>
  <si>
    <t xml:space="preserve">alte active imobilizate </t>
  </si>
  <si>
    <t xml:space="preserve"> Total cultură</t>
  </si>
  <si>
    <t>Creanțe  pe termen scurt</t>
  </si>
  <si>
    <t xml:space="preserve">Abaterea </t>
  </si>
  <si>
    <t>Ritmul cresterii %</t>
  </si>
  <si>
    <t>S. Berzoi, 022223699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</si>
</sst>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\ _l_e_i"/>
    <numFmt numFmtId="200" formatCode="#,##0.00\ _l_e_i"/>
    <numFmt numFmtId="201" formatCode="#,##0\ _l_e_i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5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/>
    </xf>
    <xf numFmtId="188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distributed"/>
    </xf>
    <xf numFmtId="0" fontId="2" fillId="0" borderId="0" xfId="0" applyFont="1" applyFill="1" applyAlignment="1">
      <alignment/>
    </xf>
    <xf numFmtId="188" fontId="6" fillId="0" borderId="10" xfId="0" applyNumberFormat="1" applyFont="1" applyFill="1" applyBorder="1" applyAlignment="1">
      <alignment/>
    </xf>
    <xf numFmtId="188" fontId="6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/>
    </xf>
    <xf numFmtId="188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99" fontId="3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/>
    </xf>
    <xf numFmtId="199" fontId="3" fillId="0" borderId="0" xfId="0" applyNumberFormat="1" applyFont="1" applyFill="1" applyBorder="1" applyAlignment="1">
      <alignment/>
    </xf>
    <xf numFmtId="199" fontId="3" fillId="0" borderId="14" xfId="0" applyNumberFormat="1" applyFont="1" applyFill="1" applyBorder="1" applyAlignment="1">
      <alignment horizontal="center" vertical="center" wrapText="1"/>
    </xf>
    <xf numFmtId="199" fontId="9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 vertical="center"/>
    </xf>
    <xf numFmtId="199" fontId="2" fillId="0" borderId="15" xfId="0" applyNumberFormat="1" applyFont="1" applyFill="1" applyBorder="1" applyAlignment="1">
      <alignment horizontal="left" vertical="center" wrapText="1"/>
    </xf>
    <xf numFmtId="199" fontId="3" fillId="0" borderId="10" xfId="0" applyNumberFormat="1" applyFont="1" applyFill="1" applyBorder="1" applyAlignment="1">
      <alignment/>
    </xf>
    <xf numFmtId="199" fontId="2" fillId="0" borderId="10" xfId="0" applyNumberFormat="1" applyFont="1" applyFill="1" applyBorder="1" applyAlignment="1">
      <alignment/>
    </xf>
    <xf numFmtId="199" fontId="2" fillId="0" borderId="13" xfId="0" applyNumberFormat="1" applyFont="1" applyFill="1" applyBorder="1" applyAlignment="1">
      <alignment/>
    </xf>
    <xf numFmtId="199" fontId="3" fillId="0" borderId="16" xfId="0" applyNumberFormat="1" applyFont="1" applyFill="1" applyBorder="1" applyAlignment="1">
      <alignment/>
    </xf>
    <xf numFmtId="199" fontId="2" fillId="0" borderId="11" xfId="0" applyNumberFormat="1" applyFont="1" applyFill="1" applyBorder="1" applyAlignment="1">
      <alignment/>
    </xf>
    <xf numFmtId="199" fontId="2" fillId="0" borderId="17" xfId="0" applyNumberFormat="1" applyFont="1" applyFill="1" applyBorder="1" applyAlignment="1">
      <alignment horizontal="center" vertical="center" wrapText="1"/>
    </xf>
    <xf numFmtId="199" fontId="2" fillId="0" borderId="18" xfId="0" applyNumberFormat="1" applyFont="1" applyFill="1" applyBorder="1" applyAlignment="1">
      <alignment horizontal="left" vertical="center" wrapText="1"/>
    </xf>
    <xf numFmtId="199" fontId="3" fillId="0" borderId="19" xfId="0" applyNumberFormat="1" applyFont="1" applyFill="1" applyBorder="1" applyAlignment="1">
      <alignment/>
    </xf>
    <xf numFmtId="199" fontId="3" fillId="0" borderId="14" xfId="0" applyNumberFormat="1" applyFont="1" applyFill="1" applyBorder="1" applyAlignment="1">
      <alignment/>
    </xf>
    <xf numFmtId="199" fontId="2" fillId="0" borderId="20" xfId="0" applyNumberFormat="1" applyFont="1" applyFill="1" applyBorder="1" applyAlignment="1">
      <alignment horizontal="center" vertical="center" wrapText="1"/>
    </xf>
    <xf numFmtId="199" fontId="3" fillId="0" borderId="12" xfId="0" applyNumberFormat="1" applyFont="1" applyFill="1" applyBorder="1" applyAlignment="1">
      <alignment/>
    </xf>
    <xf numFmtId="199" fontId="2" fillId="0" borderId="12" xfId="0" applyNumberFormat="1" applyFont="1" applyFill="1" applyBorder="1" applyAlignment="1">
      <alignment/>
    </xf>
    <xf numFmtId="199" fontId="2" fillId="0" borderId="21" xfId="0" applyNumberFormat="1" applyFont="1" applyFill="1" applyBorder="1" applyAlignment="1">
      <alignment horizontal="center" vertical="center" wrapText="1"/>
    </xf>
    <xf numFmtId="199" fontId="2" fillId="0" borderId="16" xfId="0" applyNumberFormat="1" applyFont="1" applyFill="1" applyBorder="1" applyAlignment="1">
      <alignment horizontal="left" vertical="center" wrapText="1"/>
    </xf>
    <xf numFmtId="199" fontId="2" fillId="0" borderId="16" xfId="0" applyNumberFormat="1" applyFont="1" applyFill="1" applyBorder="1" applyAlignment="1">
      <alignment horizontal="left" vertical="top" wrapText="1"/>
    </xf>
    <xf numFmtId="199" fontId="3" fillId="0" borderId="22" xfId="0" applyNumberFormat="1" applyFont="1" applyFill="1" applyBorder="1" applyAlignment="1">
      <alignment/>
    </xf>
    <xf numFmtId="199" fontId="3" fillId="0" borderId="23" xfId="0" applyNumberFormat="1" applyFont="1" applyFill="1" applyBorder="1" applyAlignment="1">
      <alignment/>
    </xf>
    <xf numFmtId="199" fontId="2" fillId="0" borderId="22" xfId="0" applyNumberFormat="1" applyFont="1" applyFill="1" applyBorder="1" applyAlignment="1">
      <alignment horizontal="left" vertical="center" wrapText="1"/>
    </xf>
    <xf numFmtId="199" fontId="2" fillId="9" borderId="0" xfId="0" applyNumberFormat="1" applyFont="1" applyFill="1" applyAlignment="1">
      <alignment/>
    </xf>
    <xf numFmtId="199" fontId="2" fillId="33" borderId="0" xfId="0" applyNumberFormat="1" applyFont="1" applyFill="1" applyAlignment="1">
      <alignment/>
    </xf>
    <xf numFmtId="199" fontId="3" fillId="0" borderId="18" xfId="0" applyNumberFormat="1" applyFont="1" applyFill="1" applyBorder="1" applyAlignment="1">
      <alignment/>
    </xf>
    <xf numFmtId="199" fontId="10" fillId="0" borderId="0" xfId="0" applyNumberFormat="1" applyFont="1" applyFill="1" applyAlignment="1">
      <alignment/>
    </xf>
    <xf numFmtId="199" fontId="2" fillId="0" borderId="0" xfId="0" applyNumberFormat="1" applyFont="1" applyFill="1" applyBorder="1" applyAlignment="1">
      <alignment/>
    </xf>
    <xf numFmtId="199" fontId="2" fillId="34" borderId="16" xfId="0" applyNumberFormat="1" applyFont="1" applyFill="1" applyBorder="1" applyAlignment="1">
      <alignment horizontal="left" vertical="center" wrapText="1"/>
    </xf>
    <xf numFmtId="199" fontId="3" fillId="34" borderId="10" xfId="0" applyNumberFormat="1" applyFont="1" applyFill="1" applyBorder="1" applyAlignment="1">
      <alignment/>
    </xf>
    <xf numFmtId="199" fontId="2" fillId="34" borderId="10" xfId="0" applyNumberFormat="1" applyFont="1" applyFill="1" applyBorder="1" applyAlignment="1">
      <alignment/>
    </xf>
    <xf numFmtId="199" fontId="2" fillId="34" borderId="13" xfId="0" applyNumberFormat="1" applyFont="1" applyFill="1" applyBorder="1" applyAlignment="1">
      <alignment/>
    </xf>
    <xf numFmtId="199" fontId="3" fillId="34" borderId="16" xfId="0" applyNumberFormat="1" applyFont="1" applyFill="1" applyBorder="1" applyAlignment="1">
      <alignment/>
    </xf>
    <xf numFmtId="199" fontId="2" fillId="34" borderId="11" xfId="0" applyNumberFormat="1" applyFont="1" applyFill="1" applyBorder="1" applyAlignment="1">
      <alignment/>
    </xf>
    <xf numFmtId="199" fontId="2" fillId="34" borderId="0" xfId="0" applyNumberFormat="1" applyFont="1" applyFill="1" applyAlignment="1">
      <alignment/>
    </xf>
    <xf numFmtId="188" fontId="6" fillId="34" borderId="10" xfId="0" applyNumberFormat="1" applyFont="1" applyFill="1" applyBorder="1" applyAlignment="1">
      <alignment/>
    </xf>
    <xf numFmtId="201" fontId="2" fillId="0" borderId="24" xfId="0" applyNumberFormat="1" applyFont="1" applyFill="1" applyBorder="1" applyAlignment="1">
      <alignment horizontal="center"/>
    </xf>
    <xf numFmtId="199" fontId="3" fillId="0" borderId="25" xfId="0" applyNumberFormat="1" applyFont="1" applyFill="1" applyBorder="1" applyAlignment="1">
      <alignment/>
    </xf>
    <xf numFmtId="199" fontId="3" fillId="0" borderId="15" xfId="0" applyNumberFormat="1" applyFont="1" applyFill="1" applyBorder="1" applyAlignment="1">
      <alignment/>
    </xf>
    <xf numFmtId="199" fontId="2" fillId="0" borderId="15" xfId="0" applyNumberFormat="1" applyFont="1" applyFill="1" applyBorder="1" applyAlignment="1">
      <alignment horizontal="left" wrapText="1"/>
    </xf>
    <xf numFmtId="199" fontId="2" fillId="0" borderId="16" xfId="0" applyNumberFormat="1" applyFont="1" applyFill="1" applyBorder="1" applyAlignment="1">
      <alignment horizontal="left" wrapText="1"/>
    </xf>
    <xf numFmtId="201" fontId="2" fillId="0" borderId="21" xfId="0" applyNumberFormat="1" applyFont="1" applyFill="1" applyBorder="1" applyAlignment="1">
      <alignment horizontal="center" vertical="center" wrapText="1"/>
    </xf>
    <xf numFmtId="201" fontId="2" fillId="0" borderId="20" xfId="0" applyNumberFormat="1" applyFont="1" applyFill="1" applyBorder="1" applyAlignment="1">
      <alignment horizontal="center" vertical="center" wrapText="1"/>
    </xf>
    <xf numFmtId="199" fontId="2" fillId="0" borderId="14" xfId="0" applyNumberFormat="1" applyFont="1" applyFill="1" applyBorder="1" applyAlignment="1">
      <alignment horizontal="center" vertical="center" wrapText="1"/>
    </xf>
    <xf numFmtId="201" fontId="2" fillId="0" borderId="15" xfId="0" applyNumberFormat="1" applyFont="1" applyFill="1" applyBorder="1" applyAlignment="1">
      <alignment horizontal="left" vertical="center" wrapText="1"/>
    </xf>
    <xf numFmtId="201" fontId="2" fillId="0" borderId="16" xfId="0" applyNumberFormat="1" applyFont="1" applyFill="1" applyBorder="1" applyAlignment="1">
      <alignment horizontal="left" vertical="center" wrapText="1"/>
    </xf>
    <xf numFmtId="201" fontId="2" fillId="0" borderId="18" xfId="0" applyNumberFormat="1" applyFont="1" applyFill="1" applyBorder="1" applyAlignment="1">
      <alignment horizontal="left" vertical="center" wrapText="1"/>
    </xf>
    <xf numFmtId="201" fontId="2" fillId="34" borderId="21" xfId="0" applyNumberFormat="1" applyFont="1" applyFill="1" applyBorder="1" applyAlignment="1">
      <alignment horizontal="center" vertical="center" wrapText="1"/>
    </xf>
    <xf numFmtId="201" fontId="2" fillId="34" borderId="20" xfId="0" applyNumberFormat="1" applyFont="1" applyFill="1" applyBorder="1" applyAlignment="1">
      <alignment horizontal="center" vertical="center" wrapText="1"/>
    </xf>
    <xf numFmtId="201" fontId="2" fillId="0" borderId="17" xfId="0" applyNumberFormat="1" applyFont="1" applyFill="1" applyBorder="1" applyAlignment="1">
      <alignment horizontal="center" vertical="center" wrapText="1"/>
    </xf>
    <xf numFmtId="199" fontId="13" fillId="0" borderId="0" xfId="0" applyNumberFormat="1" applyFont="1" applyFill="1" applyAlignment="1">
      <alignment/>
    </xf>
    <xf numFmtId="199" fontId="13" fillId="0" borderId="0" xfId="0" applyNumberFormat="1" applyFont="1" applyFill="1" applyAlignment="1">
      <alignment horizontal="right"/>
    </xf>
    <xf numFmtId="199" fontId="3" fillId="0" borderId="26" xfId="0" applyNumberFormat="1" applyFont="1" applyFill="1" applyBorder="1" applyAlignment="1">
      <alignment horizontal="left" vertical="center" wrapText="1"/>
    </xf>
    <xf numFmtId="199" fontId="3" fillId="0" borderId="27" xfId="0" applyNumberFormat="1" applyFont="1" applyFill="1" applyBorder="1" applyAlignment="1">
      <alignment horizontal="left" vertical="center" wrapText="1"/>
    </xf>
    <xf numFmtId="199" fontId="3" fillId="0" borderId="28" xfId="0" applyNumberFormat="1" applyFont="1" applyFill="1" applyBorder="1" applyAlignment="1">
      <alignment horizontal="left" vertical="center" wrapText="1"/>
    </xf>
    <xf numFmtId="201" fontId="3" fillId="0" borderId="26" xfId="0" applyNumberFormat="1" applyFont="1" applyFill="1" applyBorder="1" applyAlignment="1">
      <alignment horizontal="left" vertical="center" wrapText="1"/>
    </xf>
    <xf numFmtId="201" fontId="3" fillId="0" borderId="27" xfId="0" applyNumberFormat="1" applyFont="1" applyFill="1" applyBorder="1" applyAlignment="1">
      <alignment horizontal="left" vertical="center" wrapText="1"/>
    </xf>
    <xf numFmtId="199" fontId="13" fillId="0" borderId="0" xfId="0" applyNumberFormat="1" applyFont="1" applyFill="1" applyAlignment="1">
      <alignment horizontal="center" wrapText="1"/>
    </xf>
    <xf numFmtId="199" fontId="3" fillId="0" borderId="29" xfId="0" applyNumberFormat="1" applyFont="1" applyFill="1" applyBorder="1" applyAlignment="1">
      <alignment horizontal="left" vertical="center" wrapText="1"/>
    </xf>
    <xf numFmtId="199" fontId="3" fillId="0" borderId="30" xfId="0" applyNumberFormat="1" applyFont="1" applyFill="1" applyBorder="1" applyAlignment="1">
      <alignment horizontal="left" vertical="center" wrapText="1"/>
    </xf>
    <xf numFmtId="199" fontId="12" fillId="0" borderId="0" xfId="0" applyNumberFormat="1" applyFont="1" applyFill="1" applyAlignment="1">
      <alignment horizontal="center" vertical="center"/>
    </xf>
    <xf numFmtId="199" fontId="11" fillId="0" borderId="0" xfId="0" applyNumberFormat="1" applyFont="1" applyFill="1" applyAlignment="1">
      <alignment horizontal="center" vertical="center"/>
    </xf>
    <xf numFmtId="199" fontId="3" fillId="0" borderId="0" xfId="0" applyNumberFormat="1" applyFont="1" applyFill="1" applyAlignment="1">
      <alignment horizontal="center"/>
    </xf>
    <xf numFmtId="199" fontId="2" fillId="0" borderId="15" xfId="0" applyNumberFormat="1" applyFont="1" applyFill="1" applyBorder="1" applyAlignment="1">
      <alignment horizontal="center" vertical="center" wrapText="1"/>
    </xf>
    <xf numFmtId="199" fontId="2" fillId="0" borderId="18" xfId="0" applyNumberFormat="1" applyFont="1" applyFill="1" applyBorder="1" applyAlignment="1">
      <alignment horizontal="center" vertical="center" wrapText="1"/>
    </xf>
    <xf numFmtId="199" fontId="2" fillId="0" borderId="31" xfId="0" applyNumberFormat="1" applyFont="1" applyFill="1" applyBorder="1" applyAlignment="1">
      <alignment horizontal="center" vertical="center" wrapText="1"/>
    </xf>
    <xf numFmtId="199" fontId="2" fillId="0" borderId="32" xfId="0" applyNumberFormat="1" applyFont="1" applyFill="1" applyBorder="1" applyAlignment="1">
      <alignment horizontal="center" vertical="center" wrapText="1"/>
    </xf>
    <xf numFmtId="199" fontId="3" fillId="0" borderId="33" xfId="0" applyNumberFormat="1" applyFont="1" applyFill="1" applyBorder="1" applyAlignment="1">
      <alignment horizontal="center" vertical="center" wrapText="1"/>
    </xf>
    <xf numFmtId="199" fontId="2" fillId="0" borderId="34" xfId="0" applyNumberFormat="1" applyFont="1" applyFill="1" applyBorder="1" applyAlignment="1">
      <alignment horizontal="center" vertical="center" wrapText="1"/>
    </xf>
    <xf numFmtId="199" fontId="2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5"/>
          <c:y val="0.08975"/>
          <c:w val="0.56275"/>
          <c:h val="0.81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Mijloace fixe
59,5 %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Imobilizări corporale în curs de execuție
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6,3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diagrama!$B$29:$B$37</c:f>
              <c:strCache/>
            </c:strRef>
          </c:cat>
          <c:val>
            <c:numRef>
              <c:f>diagrama!$C$29:$C$37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diagrama!$B$29:$B$37</c:f>
              <c:strCache/>
            </c:strRef>
          </c:cat>
          <c:val>
            <c:numRef>
              <c:f>diagrama!$D$29:$D$37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23</xdr:row>
      <xdr:rowOff>38100</xdr:rowOff>
    </xdr:from>
    <xdr:to>
      <xdr:col>14</xdr:col>
      <xdr:colOff>133350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5181600" y="4810125"/>
        <a:ext cx="5229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berzoi.DFCHISINAU\Desktop\IM%20%20anexa%209%20Structura%20activelor%202017si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tabel mic act"/>
      <sheetName val="diagrama"/>
    </sheetNames>
    <sheetDataSet>
      <sheetData sheetId="0">
        <row r="92">
          <cell r="D92">
            <v>2853.121</v>
          </cell>
          <cell r="E92">
            <v>860328.869</v>
          </cell>
          <cell r="F92">
            <v>2638604.5160000003</v>
          </cell>
          <cell r="G92">
            <v>158909.8</v>
          </cell>
          <cell r="H92">
            <v>17158.309</v>
          </cell>
          <cell r="I92">
            <v>3160.776</v>
          </cell>
          <cell r="J92">
            <v>74.5</v>
          </cell>
          <cell r="K92">
            <v>10373.76</v>
          </cell>
          <cell r="M92">
            <v>125860.14799999999</v>
          </cell>
          <cell r="N92">
            <v>431044.339</v>
          </cell>
          <cell r="O92">
            <v>154255.044</v>
          </cell>
          <cell r="P92">
            <v>13238.546000000002</v>
          </cell>
          <cell r="Q92">
            <v>59161.515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4"/>
  <sheetViews>
    <sheetView tabSelected="1" view="pageBreakPreview" zoomScale="60" zoomScaleNormal="77" workbookViewId="0" topLeftCell="A86">
      <selection activeCell="B114" sqref="B114"/>
    </sheetView>
  </sheetViews>
  <sheetFormatPr defaultColWidth="9.140625" defaultRowHeight="12.75"/>
  <cols>
    <col min="1" max="1" width="6.28125" style="30" customWidth="1"/>
    <col min="2" max="2" width="36.140625" style="30" customWidth="1"/>
    <col min="3" max="3" width="17.28125" style="30" customWidth="1"/>
    <col min="4" max="4" width="12.00390625" style="30" customWidth="1"/>
    <col min="5" max="5" width="14.57421875" style="30" customWidth="1"/>
    <col min="6" max="6" width="16.28125" style="30" customWidth="1"/>
    <col min="7" max="7" width="15.00390625" style="30" customWidth="1"/>
    <col min="8" max="8" width="13.140625" style="30" customWidth="1"/>
    <col min="9" max="9" width="12.421875" style="30" customWidth="1"/>
    <col min="10" max="10" width="8.8515625" style="30" customWidth="1"/>
    <col min="11" max="11" width="13.00390625" style="30" customWidth="1"/>
    <col min="12" max="12" width="16.8515625" style="29" customWidth="1"/>
    <col min="13" max="13" width="14.7109375" style="30" customWidth="1"/>
    <col min="14" max="16" width="14.421875" style="30" customWidth="1"/>
    <col min="17" max="17" width="14.7109375" style="30" customWidth="1"/>
    <col min="18" max="18" width="18.00390625" style="29" customWidth="1"/>
    <col min="19" max="19" width="13.140625" style="30" bestFit="1" customWidth="1"/>
    <col min="20" max="20" width="14.57421875" style="30" bestFit="1" customWidth="1"/>
    <col min="21" max="16384" width="9.140625" style="30" customWidth="1"/>
  </cols>
  <sheetData>
    <row r="1" spans="1:18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R1" s="29" t="s">
        <v>120</v>
      </c>
    </row>
    <row r="2" spans="1:14" ht="15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.75">
      <c r="E3" s="34"/>
    </row>
    <row r="4" ht="6.75" customHeight="1"/>
    <row r="5" spans="1:18" ht="22.5">
      <c r="A5" s="91" t="s">
        <v>119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29" customFormat="1" ht="16.5" thickBot="1">
      <c r="A6" s="31"/>
      <c r="B6" s="31"/>
      <c r="R6" s="29" t="s">
        <v>115</v>
      </c>
    </row>
    <row r="7" spans="1:18" s="33" customFormat="1" ht="22.5" customHeight="1" thickBot="1">
      <c r="A7" s="96" t="s">
        <v>0</v>
      </c>
      <c r="B7" s="94" t="s">
        <v>1</v>
      </c>
      <c r="C7" s="98" t="s">
        <v>124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18" s="33" customFormat="1" ht="63.75" thickBot="1">
      <c r="A8" s="97"/>
      <c r="B8" s="95"/>
      <c r="C8" s="32" t="s">
        <v>15</v>
      </c>
      <c r="D8" s="74" t="s">
        <v>142</v>
      </c>
      <c r="E8" s="74" t="s">
        <v>128</v>
      </c>
      <c r="F8" s="74" t="s">
        <v>129</v>
      </c>
      <c r="G8" s="74" t="s">
        <v>130</v>
      </c>
      <c r="H8" s="74" t="s">
        <v>143</v>
      </c>
      <c r="I8" s="74" t="s">
        <v>131</v>
      </c>
      <c r="J8" s="74" t="s">
        <v>139</v>
      </c>
      <c r="K8" s="74" t="s">
        <v>140</v>
      </c>
      <c r="L8" s="32" t="s">
        <v>132</v>
      </c>
      <c r="M8" s="74" t="s">
        <v>133</v>
      </c>
      <c r="N8" s="74" t="s">
        <v>134</v>
      </c>
      <c r="O8" s="74" t="s">
        <v>135</v>
      </c>
      <c r="P8" s="74" t="s">
        <v>136</v>
      </c>
      <c r="Q8" s="74" t="s">
        <v>141</v>
      </c>
      <c r="R8" s="32" t="s">
        <v>137</v>
      </c>
    </row>
    <row r="9" spans="1:18" ht="18" customHeight="1">
      <c r="A9" s="67">
        <v>1</v>
      </c>
      <c r="B9" s="35" t="s">
        <v>16</v>
      </c>
      <c r="C9" s="36">
        <f>L9+R9</f>
        <v>55068.20000000001</v>
      </c>
      <c r="D9" s="37">
        <v>36.6</v>
      </c>
      <c r="E9" s="37"/>
      <c r="F9" s="37">
        <v>13429.1</v>
      </c>
      <c r="G9" s="37">
        <v>29606.4</v>
      </c>
      <c r="H9" s="37"/>
      <c r="I9" s="37"/>
      <c r="J9" s="37"/>
      <c r="K9" s="38"/>
      <c r="L9" s="39">
        <f>SUM(D9:K9)</f>
        <v>43072.100000000006</v>
      </c>
      <c r="M9" s="40">
        <f>4935.9+314.3+80.6</f>
        <v>5330.8</v>
      </c>
      <c r="N9" s="37">
        <f>3472.3+44.4+41.3+188.6</f>
        <v>3746.6000000000004</v>
      </c>
      <c r="O9" s="37">
        <v>903</v>
      </c>
      <c r="P9" s="37">
        <v>2015.7</v>
      </c>
      <c r="Q9" s="38"/>
      <c r="R9" s="39">
        <f>SUM(M9:Q9)</f>
        <v>11996.100000000002</v>
      </c>
    </row>
    <row r="10" spans="1:18" ht="22.5" customHeight="1" thickBot="1">
      <c r="A10" s="41" t="s">
        <v>2</v>
      </c>
      <c r="B10" s="42" t="s">
        <v>17</v>
      </c>
      <c r="C10" s="43">
        <f aca="true" t="shared" si="0" ref="C10:C72">L10+R10</f>
        <v>654062.2</v>
      </c>
      <c r="D10" s="37">
        <v>9.5</v>
      </c>
      <c r="E10" s="37">
        <v>4139.9</v>
      </c>
      <c r="F10" s="37">
        <v>551839.2</v>
      </c>
      <c r="G10" s="37"/>
      <c r="H10" s="37"/>
      <c r="I10" s="37"/>
      <c r="J10" s="37"/>
      <c r="K10" s="38"/>
      <c r="L10" s="39">
        <f>SUM(D10:K10)</f>
        <v>555988.6</v>
      </c>
      <c r="M10" s="40">
        <f>27942.8+1217+74.1+8.9</f>
        <v>29242.8</v>
      </c>
      <c r="N10" s="37">
        <f>25360.6+26193.1+111.9+660.7+8470.6</f>
        <v>60796.899999999994</v>
      </c>
      <c r="O10" s="37">
        <f>2654+594.5</f>
        <v>3248.5</v>
      </c>
      <c r="P10" s="30">
        <v>4785.4</v>
      </c>
      <c r="Q10" s="38"/>
      <c r="R10" s="39">
        <f>SUM(M10:Q10)</f>
        <v>98073.59999999999</v>
      </c>
    </row>
    <row r="11" spans="1:18" s="29" customFormat="1" ht="19.5" customHeight="1" thickBot="1">
      <c r="A11" s="89" t="s">
        <v>18</v>
      </c>
      <c r="B11" s="90"/>
      <c r="C11" s="44">
        <f t="shared" si="0"/>
        <v>709130.3999999999</v>
      </c>
      <c r="D11" s="44">
        <f aca="true" t="shared" si="1" ref="D11:R11">D9+D10</f>
        <v>46.1</v>
      </c>
      <c r="E11" s="44">
        <f t="shared" si="1"/>
        <v>4139.9</v>
      </c>
      <c r="F11" s="44">
        <f t="shared" si="1"/>
        <v>565268.2999999999</v>
      </c>
      <c r="G11" s="44">
        <f t="shared" si="1"/>
        <v>29606.4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44">
        <f t="shared" si="1"/>
        <v>599060.7</v>
      </c>
      <c r="M11" s="44">
        <f t="shared" si="1"/>
        <v>34573.6</v>
      </c>
      <c r="N11" s="44">
        <f t="shared" si="1"/>
        <v>64543.49999999999</v>
      </c>
      <c r="O11" s="44">
        <f t="shared" si="1"/>
        <v>4151.5</v>
      </c>
      <c r="P11" s="44">
        <f t="shared" si="1"/>
        <v>6801.099999999999</v>
      </c>
      <c r="Q11" s="44">
        <f t="shared" si="1"/>
        <v>0</v>
      </c>
      <c r="R11" s="44">
        <f t="shared" si="1"/>
        <v>110069.7</v>
      </c>
    </row>
    <row r="12" spans="1:18" ht="28.5" customHeight="1">
      <c r="A12" s="45" t="s">
        <v>3</v>
      </c>
      <c r="B12" s="70" t="s">
        <v>19</v>
      </c>
      <c r="C12" s="46">
        <f>L12+R12</f>
        <v>22135.700000000004</v>
      </c>
      <c r="D12" s="37">
        <v>108.1</v>
      </c>
      <c r="E12" s="37"/>
      <c r="F12" s="37">
        <v>2303.3</v>
      </c>
      <c r="G12" s="37">
        <v>4753.7</v>
      </c>
      <c r="H12" s="37"/>
      <c r="I12" s="37"/>
      <c r="J12" s="37">
        <v>72</v>
      </c>
      <c r="K12" s="38"/>
      <c r="L12" s="39">
        <f aca="true" t="shared" si="2" ref="L12:L74">SUM(D12:K12)</f>
        <v>7237.1</v>
      </c>
      <c r="M12" s="40">
        <f>29.3+98.7+102.2</f>
        <v>230.2</v>
      </c>
      <c r="N12" s="47">
        <f>2815.8+108.2+128.7+79.9+642.4</f>
        <v>3775</v>
      </c>
      <c r="O12" s="37">
        <v>10876.2</v>
      </c>
      <c r="P12" s="37">
        <v>17.2</v>
      </c>
      <c r="Q12" s="38"/>
      <c r="R12" s="39">
        <f aca="true" t="shared" si="3" ref="R12:R42">SUM(M12:Q12)</f>
        <v>14898.600000000002</v>
      </c>
    </row>
    <row r="13" spans="1:18" ht="30" customHeight="1">
      <c r="A13" s="48" t="s">
        <v>4</v>
      </c>
      <c r="B13" s="49" t="s">
        <v>20</v>
      </c>
      <c r="C13" s="36">
        <f t="shared" si="0"/>
        <v>60900.90000000001</v>
      </c>
      <c r="D13" s="37">
        <v>5.5</v>
      </c>
      <c r="E13" s="37">
        <v>9697.7</v>
      </c>
      <c r="F13" s="37">
        <v>30007.2</v>
      </c>
      <c r="G13" s="37">
        <v>5823.8</v>
      </c>
      <c r="H13" s="37"/>
      <c r="I13" s="37"/>
      <c r="J13" s="37"/>
      <c r="K13" s="38"/>
      <c r="L13" s="39">
        <f t="shared" si="2"/>
        <v>45534.200000000004</v>
      </c>
      <c r="M13" s="40">
        <f>919.3+284.3</f>
        <v>1203.6</v>
      </c>
      <c r="N13" s="37">
        <f>20.45+702.45+56.7</f>
        <v>779.6000000000001</v>
      </c>
      <c r="O13" s="37">
        <v>12828.3</v>
      </c>
      <c r="P13" s="37">
        <v>555.2</v>
      </c>
      <c r="Q13" s="38"/>
      <c r="R13" s="39">
        <f t="shared" si="3"/>
        <v>15366.7</v>
      </c>
    </row>
    <row r="14" spans="1:18" ht="30" customHeight="1">
      <c r="A14" s="48" t="s">
        <v>5</v>
      </c>
      <c r="B14" s="50" t="s">
        <v>21</v>
      </c>
      <c r="C14" s="36">
        <f t="shared" si="0"/>
        <v>1469152.4000000001</v>
      </c>
      <c r="D14" s="37">
        <v>35.5</v>
      </c>
      <c r="E14" s="37">
        <v>11350.5</v>
      </c>
      <c r="F14" s="37">
        <v>1400619.1</v>
      </c>
      <c r="G14" s="37">
        <v>30722</v>
      </c>
      <c r="H14" s="37"/>
      <c r="I14" s="37"/>
      <c r="J14" s="37"/>
      <c r="K14" s="38"/>
      <c r="L14" s="39">
        <f t="shared" si="2"/>
        <v>1442727.1</v>
      </c>
      <c r="M14" s="40">
        <f>9410.7+861.6+4715.2</f>
        <v>14987.5</v>
      </c>
      <c r="N14" s="37">
        <f>4830.2+69.6+1.3+199.8+123.3</f>
        <v>5224.200000000001</v>
      </c>
      <c r="O14" s="37">
        <v>3258.3</v>
      </c>
      <c r="P14" s="37">
        <v>2955.3</v>
      </c>
      <c r="Q14" s="38"/>
      <c r="R14" s="39">
        <f t="shared" si="3"/>
        <v>26425.3</v>
      </c>
    </row>
    <row r="15" spans="1:18" ht="15.75">
      <c r="A15" s="45" t="s">
        <v>6</v>
      </c>
      <c r="B15" s="49" t="s">
        <v>22</v>
      </c>
      <c r="C15" s="36">
        <f>L15+R15</f>
        <v>75921.9</v>
      </c>
      <c r="D15" s="37">
        <v>19.7</v>
      </c>
      <c r="E15" s="37">
        <v>12009.6</v>
      </c>
      <c r="F15" s="37">
        <v>20444.9</v>
      </c>
      <c r="G15" s="37">
        <v>0</v>
      </c>
      <c r="H15" s="37">
        <v>0</v>
      </c>
      <c r="I15" s="37">
        <v>0</v>
      </c>
      <c r="J15" s="37">
        <v>0</v>
      </c>
      <c r="K15" s="38">
        <v>0</v>
      </c>
      <c r="L15" s="39">
        <f>SUM(D15:K15)</f>
        <v>32474.200000000004</v>
      </c>
      <c r="M15" s="40">
        <f>1981.7+5798.1+17.1</f>
        <v>7796.900000000001</v>
      </c>
      <c r="N15" s="37">
        <f>22923.6+3131.3+140.3+154.1</f>
        <v>26349.299999999996</v>
      </c>
      <c r="O15" s="37">
        <v>8133.6</v>
      </c>
      <c r="P15" s="37">
        <v>1167.9</v>
      </c>
      <c r="Q15" s="38"/>
      <c r="R15" s="39">
        <f t="shared" si="3"/>
        <v>43447.7</v>
      </c>
    </row>
    <row r="16" spans="1:18" ht="31.5" customHeight="1">
      <c r="A16" s="48" t="s">
        <v>7</v>
      </c>
      <c r="B16" s="49" t="s">
        <v>23</v>
      </c>
      <c r="C16" s="36">
        <f t="shared" si="0"/>
        <v>60768.6</v>
      </c>
      <c r="D16" s="37">
        <v>691.7</v>
      </c>
      <c r="E16" s="37"/>
      <c r="F16" s="37">
        <v>36747.1</v>
      </c>
      <c r="G16" s="37">
        <v>14105.2</v>
      </c>
      <c r="H16" s="37"/>
      <c r="I16" s="37"/>
      <c r="J16" s="37">
        <v>2.5</v>
      </c>
      <c r="K16" s="38"/>
      <c r="L16" s="39">
        <f t="shared" si="2"/>
        <v>51546.5</v>
      </c>
      <c r="M16" s="40">
        <f>2067.9+114.2</f>
        <v>2182.1</v>
      </c>
      <c r="N16" s="37">
        <f>5507.4+17.3+21.2</f>
        <v>5545.9</v>
      </c>
      <c r="O16" s="37">
        <v>1343.8</v>
      </c>
      <c r="P16" s="37">
        <v>150.3</v>
      </c>
      <c r="Q16" s="38"/>
      <c r="R16" s="39">
        <f t="shared" si="3"/>
        <v>9222.099999999999</v>
      </c>
    </row>
    <row r="17" spans="1:18" ht="15.75">
      <c r="A17" s="48" t="s">
        <v>8</v>
      </c>
      <c r="B17" s="49" t="s">
        <v>24</v>
      </c>
      <c r="C17" s="36">
        <f>L17+R17</f>
        <v>99154.70000000001</v>
      </c>
      <c r="D17" s="37">
        <v>37.6</v>
      </c>
      <c r="E17" s="37">
        <v>796.9</v>
      </c>
      <c r="F17" s="37">
        <v>27058.9</v>
      </c>
      <c r="G17" s="37"/>
      <c r="H17" s="37"/>
      <c r="I17" s="37">
        <v>214.5</v>
      </c>
      <c r="J17" s="37"/>
      <c r="K17" s="38">
        <v>9371.9</v>
      </c>
      <c r="L17" s="39">
        <f t="shared" si="2"/>
        <v>37479.8</v>
      </c>
      <c r="M17" s="40">
        <f>323.1+945.6+485.6</f>
        <v>1754.3000000000002</v>
      </c>
      <c r="N17" s="37">
        <f>307.6+41.6+3869.3+88.1+729.5</f>
        <v>5036.1</v>
      </c>
      <c r="O17" s="37">
        <v>11689.6</v>
      </c>
      <c r="P17" s="37">
        <v>194.9</v>
      </c>
      <c r="Q17" s="38">
        <v>43000</v>
      </c>
      <c r="R17" s="39">
        <f t="shared" si="3"/>
        <v>61674.9</v>
      </c>
    </row>
    <row r="18" spans="1:18" ht="15.75">
      <c r="A18" s="45" t="s">
        <v>9</v>
      </c>
      <c r="B18" s="49" t="s">
        <v>25</v>
      </c>
      <c r="C18" s="36">
        <f t="shared" si="0"/>
        <v>17728.2</v>
      </c>
      <c r="D18" s="37">
        <v>34.8</v>
      </c>
      <c r="E18" s="37">
        <v>0</v>
      </c>
      <c r="F18" s="37">
        <v>5126.8</v>
      </c>
      <c r="G18" s="37">
        <v>0</v>
      </c>
      <c r="H18" s="37">
        <v>15.9</v>
      </c>
      <c r="I18" s="37">
        <v>0</v>
      </c>
      <c r="J18" s="37">
        <v>0</v>
      </c>
      <c r="K18" s="38">
        <v>0</v>
      </c>
      <c r="L18" s="39">
        <f t="shared" si="2"/>
        <v>5177.5</v>
      </c>
      <c r="M18" s="40">
        <f>1277.6+152.5</f>
        <v>1430.1</v>
      </c>
      <c r="N18" s="37">
        <f>10002.6+40.5+343.4</f>
        <v>10386.5</v>
      </c>
      <c r="O18" s="37">
        <f>458.9</f>
        <v>458.9</v>
      </c>
      <c r="P18" s="37">
        <v>275.2</v>
      </c>
      <c r="Q18" s="38"/>
      <c r="R18" s="39">
        <f t="shared" si="3"/>
        <v>12550.7</v>
      </c>
    </row>
    <row r="19" spans="1:18" ht="15.75">
      <c r="A19" s="48" t="s">
        <v>10</v>
      </c>
      <c r="B19" s="49" t="s">
        <v>26</v>
      </c>
      <c r="C19" s="36">
        <f t="shared" si="0"/>
        <v>30820.182</v>
      </c>
      <c r="D19" s="37">
        <v>1277.434</v>
      </c>
      <c r="E19" s="37"/>
      <c r="F19" s="37">
        <v>288.2</v>
      </c>
      <c r="G19" s="37"/>
      <c r="H19" s="37"/>
      <c r="I19" s="37"/>
      <c r="J19" s="37"/>
      <c r="K19" s="38"/>
      <c r="L19" s="39">
        <f t="shared" si="2"/>
        <v>1565.634</v>
      </c>
      <c r="M19" s="40">
        <f>84.9+21.7</f>
        <v>106.60000000000001</v>
      </c>
      <c r="N19" s="37">
        <f>700.369+11.667+6.019+18.84+69.074</f>
        <v>805.969</v>
      </c>
      <c r="O19" s="37">
        <f>19845.276+8487.339</f>
        <v>28332.615</v>
      </c>
      <c r="P19" s="37">
        <v>9.364</v>
      </c>
      <c r="Q19" s="38"/>
      <c r="R19" s="39">
        <f t="shared" si="3"/>
        <v>29254.548000000003</v>
      </c>
    </row>
    <row r="20" spans="1:18" ht="15.75">
      <c r="A20" s="48" t="s">
        <v>11</v>
      </c>
      <c r="B20" s="49" t="s">
        <v>27</v>
      </c>
      <c r="C20" s="36">
        <f>L20+R20</f>
        <v>13890.5</v>
      </c>
      <c r="D20" s="37">
        <v>1.4</v>
      </c>
      <c r="E20" s="37">
        <v>10.7</v>
      </c>
      <c r="F20" s="37">
        <v>2704.4</v>
      </c>
      <c r="G20" s="37">
        <v>9324</v>
      </c>
      <c r="H20" s="37"/>
      <c r="I20" s="37"/>
      <c r="J20" s="37"/>
      <c r="K20" s="38"/>
      <c r="L20" s="39">
        <f t="shared" si="2"/>
        <v>12040.5</v>
      </c>
      <c r="M20" s="40">
        <f>11.9</f>
        <v>11.9</v>
      </c>
      <c r="N20" s="37">
        <f>1735.5+49.8+4.3+19.5+8.7</f>
        <v>1817.8</v>
      </c>
      <c r="O20" s="37">
        <f>10.7</f>
        <v>10.7</v>
      </c>
      <c r="P20" s="37">
        <v>9.6</v>
      </c>
      <c r="Q20" s="38"/>
      <c r="R20" s="39">
        <f t="shared" si="3"/>
        <v>1850</v>
      </c>
    </row>
    <row r="21" spans="1:18" ht="32.25" customHeight="1">
      <c r="A21" s="45" t="s">
        <v>12</v>
      </c>
      <c r="B21" s="49" t="s">
        <v>28</v>
      </c>
      <c r="C21" s="36">
        <f t="shared" si="0"/>
        <v>715050.5</v>
      </c>
      <c r="D21" s="37"/>
      <c r="E21" s="37">
        <v>690809.5</v>
      </c>
      <c r="F21" s="37">
        <v>2560.9</v>
      </c>
      <c r="G21" s="37"/>
      <c r="H21" s="37">
        <f>394.7+15086</f>
        <v>15480.7</v>
      </c>
      <c r="I21" s="37">
        <v>2437.2</v>
      </c>
      <c r="J21" s="37"/>
      <c r="K21" s="38">
        <v>13.3</v>
      </c>
      <c r="L21" s="39">
        <f t="shared" si="2"/>
        <v>711301.6</v>
      </c>
      <c r="M21" s="40">
        <f>55.1+11.1</f>
        <v>66.2</v>
      </c>
      <c r="N21" s="37">
        <f>842.3+28.4+45.4+155.4+939.6</f>
        <v>2011.1</v>
      </c>
      <c r="O21" s="37">
        <v>252.2</v>
      </c>
      <c r="P21" s="37">
        <v>40.1</v>
      </c>
      <c r="Q21" s="38">
        <v>1379.3</v>
      </c>
      <c r="R21" s="39">
        <f t="shared" si="3"/>
        <v>3748.8999999999996</v>
      </c>
    </row>
    <row r="22" spans="1:18" ht="15.75">
      <c r="A22" s="48" t="s">
        <v>13</v>
      </c>
      <c r="B22" s="49" t="s">
        <v>29</v>
      </c>
      <c r="C22" s="36">
        <f t="shared" si="0"/>
        <v>13522.7</v>
      </c>
      <c r="D22" s="37">
        <v>0</v>
      </c>
      <c r="E22" s="37">
        <v>4889.8</v>
      </c>
      <c r="F22" s="37">
        <v>7649.7</v>
      </c>
      <c r="G22" s="37">
        <v>0</v>
      </c>
      <c r="H22" s="37">
        <v>0</v>
      </c>
      <c r="I22" s="37">
        <v>0</v>
      </c>
      <c r="J22" s="37">
        <v>0</v>
      </c>
      <c r="K22" s="38"/>
      <c r="L22" s="39">
        <f t="shared" si="2"/>
        <v>12539.5</v>
      </c>
      <c r="M22" s="40">
        <f>158.5+161.4+168.3</f>
        <v>488.2</v>
      </c>
      <c r="N22" s="37">
        <f>67+42.8+13.1+15.5</f>
        <v>138.39999999999998</v>
      </c>
      <c r="O22" s="37">
        <f>340.9</f>
        <v>340.9</v>
      </c>
      <c r="P22" s="37">
        <v>15.7</v>
      </c>
      <c r="Q22" s="38">
        <v>0</v>
      </c>
      <c r="R22" s="39">
        <f t="shared" si="3"/>
        <v>983.1999999999999</v>
      </c>
    </row>
    <row r="23" spans="1:18" ht="19.5" customHeight="1">
      <c r="A23" s="48" t="s">
        <v>14</v>
      </c>
      <c r="B23" s="50" t="s">
        <v>30</v>
      </c>
      <c r="C23" s="36">
        <f>L23+R23</f>
        <v>31509.355000000003</v>
      </c>
      <c r="D23" s="37">
        <v>42.5</v>
      </c>
      <c r="E23" s="37">
        <v>641</v>
      </c>
      <c r="F23" s="37">
        <v>26548.2</v>
      </c>
      <c r="G23" s="37"/>
      <c r="H23" s="37"/>
      <c r="I23" s="37"/>
      <c r="J23" s="37"/>
      <c r="K23" s="38"/>
      <c r="L23" s="39">
        <f t="shared" si="2"/>
        <v>27231.7</v>
      </c>
      <c r="M23" s="40">
        <f>214.1+825.4+16.9+837</f>
        <v>1893.4</v>
      </c>
      <c r="N23" s="37">
        <f>1160.786+68.233+337.894+25.942</f>
        <v>1592.855</v>
      </c>
      <c r="O23" s="37">
        <v>644.8</v>
      </c>
      <c r="P23" s="37">
        <v>146.6</v>
      </c>
      <c r="Q23" s="38"/>
      <c r="R23" s="39">
        <f t="shared" si="3"/>
        <v>4277.655000000001</v>
      </c>
    </row>
    <row r="24" spans="1:18" ht="15.75">
      <c r="A24" s="72">
        <v>15</v>
      </c>
      <c r="B24" s="49" t="s">
        <v>31</v>
      </c>
      <c r="C24" s="36">
        <f t="shared" si="0"/>
        <v>118.4</v>
      </c>
      <c r="D24" s="37"/>
      <c r="E24" s="37"/>
      <c r="F24" s="37"/>
      <c r="G24" s="37"/>
      <c r="H24" s="37"/>
      <c r="I24" s="37"/>
      <c r="J24" s="37"/>
      <c r="K24" s="38"/>
      <c r="L24" s="39">
        <f t="shared" si="2"/>
        <v>0</v>
      </c>
      <c r="M24" s="40">
        <v>99.4</v>
      </c>
      <c r="N24" s="37"/>
      <c r="O24" s="37">
        <v>16</v>
      </c>
      <c r="P24" s="37">
        <v>3</v>
      </c>
      <c r="Q24" s="38"/>
      <c r="R24" s="39">
        <f t="shared" si="3"/>
        <v>118.4</v>
      </c>
    </row>
    <row r="25" spans="1:18" ht="19.5" customHeight="1">
      <c r="A25" s="72">
        <v>16</v>
      </c>
      <c r="B25" s="71" t="s">
        <v>32</v>
      </c>
      <c r="C25" s="36">
        <v>26.6</v>
      </c>
      <c r="D25" s="37"/>
      <c r="E25" s="37"/>
      <c r="F25" s="37"/>
      <c r="G25" s="37"/>
      <c r="H25" s="37"/>
      <c r="I25" s="37"/>
      <c r="J25" s="37"/>
      <c r="K25" s="38"/>
      <c r="L25" s="39">
        <f t="shared" si="2"/>
        <v>0</v>
      </c>
      <c r="M25" s="40"/>
      <c r="N25" s="37">
        <f>2.3+1.5</f>
        <v>3.8</v>
      </c>
      <c r="O25" s="37">
        <v>22.8</v>
      </c>
      <c r="P25" s="37"/>
      <c r="Q25" s="38"/>
      <c r="R25" s="39">
        <f t="shared" si="3"/>
        <v>26.6</v>
      </c>
    </row>
    <row r="26" spans="1:18" ht="16.5" thickBot="1">
      <c r="A26" s="73">
        <v>17</v>
      </c>
      <c r="B26" s="42" t="s">
        <v>33</v>
      </c>
      <c r="C26" s="36">
        <f>L26+R26</f>
        <v>69.2</v>
      </c>
      <c r="D26" s="37">
        <v>0.4</v>
      </c>
      <c r="E26" s="37"/>
      <c r="F26" s="37">
        <v>4.9</v>
      </c>
      <c r="G26" s="37"/>
      <c r="H26" s="37"/>
      <c r="I26" s="37"/>
      <c r="J26" s="37"/>
      <c r="K26" s="38"/>
      <c r="L26" s="39">
        <f>SUM(D26:K26)</f>
        <v>5.300000000000001</v>
      </c>
      <c r="M26" s="40"/>
      <c r="N26" s="37">
        <f>6+1.6+10.9</f>
        <v>18.5</v>
      </c>
      <c r="O26" s="37">
        <v>45.3</v>
      </c>
      <c r="P26" s="37">
        <v>0.1</v>
      </c>
      <c r="Q26" s="38"/>
      <c r="R26" s="51">
        <f t="shared" si="3"/>
        <v>63.9</v>
      </c>
    </row>
    <row r="27" spans="1:18" ht="23.25" customHeight="1" thickBot="1">
      <c r="A27" s="73">
        <v>18</v>
      </c>
      <c r="B27" s="42" t="s">
        <v>125</v>
      </c>
      <c r="C27" s="36">
        <f t="shared" si="0"/>
        <v>1928.8000000000002</v>
      </c>
      <c r="D27" s="37">
        <v>0</v>
      </c>
      <c r="E27" s="37">
        <v>0</v>
      </c>
      <c r="F27" s="37">
        <v>509.6</v>
      </c>
      <c r="G27" s="37">
        <v>0</v>
      </c>
      <c r="H27" s="37">
        <v>0</v>
      </c>
      <c r="I27" s="37">
        <v>0</v>
      </c>
      <c r="J27" s="37">
        <v>0</v>
      </c>
      <c r="K27" s="38">
        <v>313.6</v>
      </c>
      <c r="L27" s="39">
        <f t="shared" si="2"/>
        <v>823.2</v>
      </c>
      <c r="M27" s="40">
        <f>0.2+3.8</f>
        <v>4</v>
      </c>
      <c r="N27" s="37">
        <f>287.1+50.9</f>
        <v>338</v>
      </c>
      <c r="O27" s="37">
        <f>761.4</f>
        <v>761.4</v>
      </c>
      <c r="P27" s="37">
        <f>2.2</f>
        <v>2.2</v>
      </c>
      <c r="Q27" s="38">
        <v>0</v>
      </c>
      <c r="R27" s="51">
        <f t="shared" si="3"/>
        <v>1105.6000000000001</v>
      </c>
    </row>
    <row r="28" spans="1:18" s="29" customFormat="1" ht="16.5" thickBot="1">
      <c r="A28" s="83" t="s">
        <v>34</v>
      </c>
      <c r="B28" s="84"/>
      <c r="C28" s="36">
        <f t="shared" si="0"/>
        <v>2612698.637</v>
      </c>
      <c r="D28" s="44">
        <f aca="true" t="shared" si="4" ref="D28:Q28">SUM(D12:D27)</f>
        <v>2254.634</v>
      </c>
      <c r="E28" s="44">
        <f t="shared" si="4"/>
        <v>730205.7000000001</v>
      </c>
      <c r="F28" s="44">
        <f t="shared" si="4"/>
        <v>1562573.1999999997</v>
      </c>
      <c r="G28" s="44">
        <f t="shared" si="4"/>
        <v>64728.7</v>
      </c>
      <c r="H28" s="44">
        <f t="shared" si="4"/>
        <v>15496.6</v>
      </c>
      <c r="I28" s="44">
        <f t="shared" si="4"/>
        <v>2651.7</v>
      </c>
      <c r="J28" s="44">
        <f t="shared" si="4"/>
        <v>74.5</v>
      </c>
      <c r="K28" s="44">
        <f t="shared" si="4"/>
        <v>9698.8</v>
      </c>
      <c r="L28" s="44">
        <f t="shared" si="4"/>
        <v>2387683.8340000003</v>
      </c>
      <c r="M28" s="44">
        <f t="shared" si="4"/>
        <v>32254.4</v>
      </c>
      <c r="N28" s="44">
        <f t="shared" si="4"/>
        <v>63823.024000000005</v>
      </c>
      <c r="O28" s="44">
        <f t="shared" si="4"/>
        <v>79015.415</v>
      </c>
      <c r="P28" s="44">
        <f t="shared" si="4"/>
        <v>5542.664000000001</v>
      </c>
      <c r="Q28" s="44">
        <f t="shared" si="4"/>
        <v>44379.3</v>
      </c>
      <c r="R28" s="44">
        <f t="shared" si="3"/>
        <v>225014.80299999996</v>
      </c>
    </row>
    <row r="29" spans="1:18" ht="31.5">
      <c r="A29" s="73">
        <v>19</v>
      </c>
      <c r="B29" s="35" t="s">
        <v>35</v>
      </c>
      <c r="C29" s="36">
        <f t="shared" si="0"/>
        <v>3776.4000000000005</v>
      </c>
      <c r="D29" s="37">
        <v>221.4</v>
      </c>
      <c r="E29" s="37"/>
      <c r="F29" s="37">
        <v>2878.3</v>
      </c>
      <c r="G29" s="37"/>
      <c r="H29" s="37"/>
      <c r="I29" s="37"/>
      <c r="J29" s="37"/>
      <c r="K29" s="38"/>
      <c r="L29" s="39">
        <f t="shared" si="2"/>
        <v>3099.7000000000003</v>
      </c>
      <c r="M29" s="40">
        <f>100.1+415.6+3.1</f>
        <v>518.8000000000001</v>
      </c>
      <c r="N29" s="37">
        <f>9.5+5.5</f>
        <v>15</v>
      </c>
      <c r="O29" s="37">
        <v>129.6</v>
      </c>
      <c r="P29" s="37">
        <v>13.3</v>
      </c>
      <c r="Q29" s="38"/>
      <c r="R29" s="52">
        <f t="shared" si="3"/>
        <v>676.7</v>
      </c>
    </row>
    <row r="30" spans="1:18" ht="47.25">
      <c r="A30" s="72">
        <v>20</v>
      </c>
      <c r="B30" s="49" t="s">
        <v>36</v>
      </c>
      <c r="C30" s="36">
        <f t="shared" si="0"/>
        <v>29321.199999999997</v>
      </c>
      <c r="D30" s="37">
        <v>256.6</v>
      </c>
      <c r="E30" s="37"/>
      <c r="F30" s="37">
        <v>26873.3</v>
      </c>
      <c r="G30" s="37"/>
      <c r="H30" s="37"/>
      <c r="I30" s="37"/>
      <c r="J30" s="37"/>
      <c r="K30" s="38"/>
      <c r="L30" s="39">
        <f t="shared" si="2"/>
        <v>27129.899999999998</v>
      </c>
      <c r="M30" s="40">
        <f>59.8+1929.3</f>
        <v>1989.1</v>
      </c>
      <c r="N30" s="37">
        <f>183.3+8.1</f>
        <v>191.4</v>
      </c>
      <c r="O30" s="37">
        <v>10.8</v>
      </c>
      <c r="P30" s="37"/>
      <c r="Q30" s="38"/>
      <c r="R30" s="39">
        <f t="shared" si="3"/>
        <v>2191.3</v>
      </c>
    </row>
    <row r="31" spans="1:18" ht="15.75">
      <c r="A31" s="73">
        <v>21</v>
      </c>
      <c r="B31" s="49" t="s">
        <v>37</v>
      </c>
      <c r="C31" s="36">
        <f t="shared" si="0"/>
        <v>14.9</v>
      </c>
      <c r="D31" s="37"/>
      <c r="E31" s="37"/>
      <c r="F31" s="37">
        <v>13.8</v>
      </c>
      <c r="G31" s="37"/>
      <c r="H31" s="37"/>
      <c r="I31" s="37"/>
      <c r="J31" s="37"/>
      <c r="K31" s="38"/>
      <c r="L31" s="39">
        <f t="shared" si="2"/>
        <v>13.8</v>
      </c>
      <c r="M31" s="40">
        <v>0.7</v>
      </c>
      <c r="N31" s="37"/>
      <c r="O31" s="37">
        <v>0.4</v>
      </c>
      <c r="P31" s="37"/>
      <c r="Q31" s="38"/>
      <c r="R31" s="39">
        <f t="shared" si="3"/>
        <v>1.1</v>
      </c>
    </row>
    <row r="32" spans="1:18" ht="15.75">
      <c r="A32" s="72">
        <v>22</v>
      </c>
      <c r="B32" s="53" t="s">
        <v>121</v>
      </c>
      <c r="C32" s="36">
        <f t="shared" si="0"/>
        <v>17.7</v>
      </c>
      <c r="D32" s="37"/>
      <c r="E32" s="37"/>
      <c r="F32" s="37">
        <v>10.1</v>
      </c>
      <c r="G32" s="37"/>
      <c r="H32" s="37"/>
      <c r="I32" s="37"/>
      <c r="J32" s="37"/>
      <c r="K32" s="38"/>
      <c r="L32" s="39">
        <f t="shared" si="2"/>
        <v>10.1</v>
      </c>
      <c r="M32" s="40">
        <v>5.1</v>
      </c>
      <c r="N32" s="37"/>
      <c r="O32" s="37">
        <v>2.5</v>
      </c>
      <c r="P32" s="37"/>
      <c r="Q32" s="38"/>
      <c r="R32" s="39">
        <f t="shared" si="3"/>
        <v>7.6</v>
      </c>
    </row>
    <row r="33" spans="1:18" ht="32.25" thickBot="1">
      <c r="A33" s="73">
        <v>23</v>
      </c>
      <c r="B33" s="42" t="s">
        <v>38</v>
      </c>
      <c r="C33" s="43">
        <v>162.4</v>
      </c>
      <c r="D33" s="37"/>
      <c r="E33" s="37"/>
      <c r="F33" s="37">
        <v>108.2</v>
      </c>
      <c r="G33" s="37"/>
      <c r="H33" s="37"/>
      <c r="I33" s="37"/>
      <c r="J33" s="37"/>
      <c r="K33" s="38"/>
      <c r="L33" s="39">
        <f t="shared" si="2"/>
        <v>108.2</v>
      </c>
      <c r="M33" s="40">
        <f>0.4+36.3</f>
        <v>36.699999999999996</v>
      </c>
      <c r="N33" s="37">
        <f>2.6+8.5</f>
        <v>11.1</v>
      </c>
      <c r="O33" s="37">
        <v>6.4</v>
      </c>
      <c r="P33" s="37"/>
      <c r="Q33" s="38"/>
      <c r="R33" s="39">
        <f t="shared" si="3"/>
        <v>54.199999999999996</v>
      </c>
    </row>
    <row r="34" spans="1:18" s="29" customFormat="1" ht="16.5" thickBot="1">
      <c r="A34" s="83" t="s">
        <v>144</v>
      </c>
      <c r="B34" s="84"/>
      <c r="C34" s="44">
        <f t="shared" si="0"/>
        <v>33292.6</v>
      </c>
      <c r="D34" s="44">
        <f aca="true" t="shared" si="5" ref="D34:Q34">SUM(D29:D33)</f>
        <v>478</v>
      </c>
      <c r="E34" s="44">
        <f t="shared" si="5"/>
        <v>0</v>
      </c>
      <c r="F34" s="44">
        <f t="shared" si="5"/>
        <v>29883.699999999997</v>
      </c>
      <c r="G34" s="44">
        <f t="shared" si="5"/>
        <v>0</v>
      </c>
      <c r="H34" s="44">
        <f t="shared" si="5"/>
        <v>0</v>
      </c>
      <c r="I34" s="44">
        <f t="shared" si="5"/>
        <v>0</v>
      </c>
      <c r="J34" s="44">
        <f t="shared" si="5"/>
        <v>0</v>
      </c>
      <c r="K34" s="44">
        <f t="shared" si="5"/>
        <v>0</v>
      </c>
      <c r="L34" s="44">
        <f t="shared" si="5"/>
        <v>30361.699999999997</v>
      </c>
      <c r="M34" s="44">
        <f t="shared" si="5"/>
        <v>2550.3999999999996</v>
      </c>
      <c r="N34" s="44">
        <f t="shared" si="5"/>
        <v>217.5</v>
      </c>
      <c r="O34" s="44">
        <f t="shared" si="5"/>
        <v>149.70000000000002</v>
      </c>
      <c r="P34" s="44">
        <f t="shared" si="5"/>
        <v>13.3</v>
      </c>
      <c r="Q34" s="44">
        <f t="shared" si="5"/>
        <v>0</v>
      </c>
      <c r="R34" s="39">
        <f t="shared" si="3"/>
        <v>2930.8999999999996</v>
      </c>
    </row>
    <row r="35" spans="1:18" ht="31.5">
      <c r="A35" s="73">
        <v>24</v>
      </c>
      <c r="B35" s="75" t="s">
        <v>39</v>
      </c>
      <c r="C35" s="46">
        <f t="shared" si="0"/>
        <v>1195.4</v>
      </c>
      <c r="D35" s="37">
        <v>0.2</v>
      </c>
      <c r="E35" s="37"/>
      <c r="F35" s="37">
        <v>431.5</v>
      </c>
      <c r="G35" s="37"/>
      <c r="H35" s="37"/>
      <c r="I35" s="37"/>
      <c r="J35" s="37"/>
      <c r="K35" s="38"/>
      <c r="L35" s="39">
        <f t="shared" si="2"/>
        <v>431.7</v>
      </c>
      <c r="M35" s="40">
        <v>7.5</v>
      </c>
      <c r="N35" s="47">
        <f>384.3+0.1+0.9</f>
        <v>385.3</v>
      </c>
      <c r="O35" s="37">
        <v>368.2</v>
      </c>
      <c r="P35" s="37">
        <v>2.7</v>
      </c>
      <c r="Q35" s="38"/>
      <c r="R35" s="39">
        <f t="shared" si="3"/>
        <v>763.7</v>
      </c>
    </row>
    <row r="36" spans="1:18" ht="31.5">
      <c r="A36" s="72">
        <v>25</v>
      </c>
      <c r="B36" s="76" t="s">
        <v>40</v>
      </c>
      <c r="C36" s="36">
        <f t="shared" si="0"/>
        <v>3269.1</v>
      </c>
      <c r="E36" s="37"/>
      <c r="F36" s="37">
        <v>542.4</v>
      </c>
      <c r="G36" s="37"/>
      <c r="H36" s="37"/>
      <c r="I36" s="37">
        <v>0.6</v>
      </c>
      <c r="J36" s="37"/>
      <c r="K36" s="38"/>
      <c r="L36" s="39">
        <f>SUM(E36:K36)</f>
        <v>543</v>
      </c>
      <c r="M36" s="40">
        <f>5.2+876.5+639</f>
        <v>1520.7</v>
      </c>
      <c r="N36" s="37">
        <f>1050.3+0.6</f>
        <v>1050.8999999999999</v>
      </c>
      <c r="O36" s="37">
        <v>124.9</v>
      </c>
      <c r="P36" s="37">
        <v>29.6</v>
      </c>
      <c r="Q36" s="38"/>
      <c r="R36" s="39">
        <f t="shared" si="3"/>
        <v>2726.1</v>
      </c>
    </row>
    <row r="37" spans="1:18" ht="15.75">
      <c r="A37" s="73">
        <v>26</v>
      </c>
      <c r="B37" s="76" t="s">
        <v>41</v>
      </c>
      <c r="C37" s="36">
        <f t="shared" si="0"/>
        <v>2185.6000000000004</v>
      </c>
      <c r="D37" s="37">
        <v>12.6</v>
      </c>
      <c r="E37" s="37">
        <v>0</v>
      </c>
      <c r="F37" s="37">
        <v>588.4</v>
      </c>
      <c r="G37" s="37">
        <v>0</v>
      </c>
      <c r="H37" s="37">
        <v>0</v>
      </c>
      <c r="I37" s="37">
        <v>0</v>
      </c>
      <c r="J37" s="37">
        <v>0</v>
      </c>
      <c r="K37" s="38">
        <v>0</v>
      </c>
      <c r="L37" s="39">
        <f t="shared" si="2"/>
        <v>601</v>
      </c>
      <c r="M37" s="40">
        <f>46.9+180.3</f>
        <v>227.20000000000002</v>
      </c>
      <c r="N37" s="37">
        <f>461.1+259.8</f>
        <v>720.9000000000001</v>
      </c>
      <c r="O37" s="37">
        <f>635.6</f>
        <v>635.6</v>
      </c>
      <c r="P37" s="37">
        <v>0</v>
      </c>
      <c r="Q37" s="38">
        <v>0.9</v>
      </c>
      <c r="R37" s="39">
        <f t="shared" si="3"/>
        <v>1584.6000000000004</v>
      </c>
    </row>
    <row r="38" spans="1:18" ht="31.5">
      <c r="A38" s="72">
        <v>27</v>
      </c>
      <c r="B38" s="76" t="s">
        <v>42</v>
      </c>
      <c r="C38" s="36">
        <f t="shared" si="0"/>
        <v>1518.1</v>
      </c>
      <c r="D38" s="37"/>
      <c r="E38" s="37"/>
      <c r="F38" s="37"/>
      <c r="G38" s="37"/>
      <c r="H38" s="37"/>
      <c r="I38" s="37"/>
      <c r="J38" s="37"/>
      <c r="K38" s="38"/>
      <c r="L38" s="39">
        <f t="shared" si="2"/>
        <v>0</v>
      </c>
      <c r="M38" s="40">
        <f>19.1+114.7+346.6</f>
        <v>480.40000000000003</v>
      </c>
      <c r="N38" s="37">
        <f>371.3+9.1+7.3</f>
        <v>387.70000000000005</v>
      </c>
      <c r="O38" s="37">
        <v>555.9</v>
      </c>
      <c r="P38" s="37">
        <v>94.1</v>
      </c>
      <c r="Q38" s="38"/>
      <c r="R38" s="39">
        <f t="shared" si="3"/>
        <v>1518.1</v>
      </c>
    </row>
    <row r="39" spans="1:18" ht="32.25" thickBot="1">
      <c r="A39" s="73">
        <v>28</v>
      </c>
      <c r="B39" s="77" t="s">
        <v>43</v>
      </c>
      <c r="C39" s="43">
        <v>3453.5</v>
      </c>
      <c r="D39" s="37"/>
      <c r="E39" s="37"/>
      <c r="F39" s="37">
        <v>532.2</v>
      </c>
      <c r="G39" s="37"/>
      <c r="H39" s="37"/>
      <c r="I39" s="37"/>
      <c r="J39" s="37"/>
      <c r="K39" s="38"/>
      <c r="L39" s="51">
        <f t="shared" si="2"/>
        <v>532.2</v>
      </c>
      <c r="M39" s="40">
        <f>67.8+14+660.2</f>
        <v>742</v>
      </c>
      <c r="N39" s="37">
        <f>1087.4+19.5+10.8+63.1+305.4</f>
        <v>1486.1999999999998</v>
      </c>
      <c r="O39" s="37">
        <v>680.7</v>
      </c>
      <c r="P39" s="37">
        <v>12.3</v>
      </c>
      <c r="Q39" s="38"/>
      <c r="R39" s="39">
        <f t="shared" si="3"/>
        <v>2921.2</v>
      </c>
    </row>
    <row r="40" spans="1:18" s="29" customFormat="1" ht="16.5" thickBot="1">
      <c r="A40" s="86" t="s">
        <v>44</v>
      </c>
      <c r="B40" s="87"/>
      <c r="C40" s="44">
        <f t="shared" si="0"/>
        <v>11621.6</v>
      </c>
      <c r="D40" s="44">
        <f aca="true" t="shared" si="6" ref="D40:K40">SUM(D35:D39)</f>
        <v>12.799999999999999</v>
      </c>
      <c r="E40" s="44">
        <f t="shared" si="6"/>
        <v>0</v>
      </c>
      <c r="F40" s="44">
        <f t="shared" si="6"/>
        <v>2094.5</v>
      </c>
      <c r="G40" s="44">
        <f t="shared" si="6"/>
        <v>0</v>
      </c>
      <c r="H40" s="44">
        <f t="shared" si="6"/>
        <v>0</v>
      </c>
      <c r="I40" s="44">
        <f t="shared" si="6"/>
        <v>0.6</v>
      </c>
      <c r="J40" s="44">
        <f t="shared" si="6"/>
        <v>0</v>
      </c>
      <c r="K40" s="44">
        <f t="shared" si="6"/>
        <v>0</v>
      </c>
      <c r="L40" s="44">
        <f aca="true" t="shared" si="7" ref="L40:Q40">SUM(L35:L39)</f>
        <v>2107.9</v>
      </c>
      <c r="M40" s="44">
        <f t="shared" si="7"/>
        <v>2977.8</v>
      </c>
      <c r="N40" s="44">
        <f t="shared" si="7"/>
        <v>4031</v>
      </c>
      <c r="O40" s="44">
        <f t="shared" si="7"/>
        <v>2365.3</v>
      </c>
      <c r="P40" s="44">
        <f t="shared" si="7"/>
        <v>138.70000000000002</v>
      </c>
      <c r="Q40" s="44">
        <f t="shared" si="7"/>
        <v>0.9</v>
      </c>
      <c r="R40" s="39">
        <f t="shared" si="3"/>
        <v>9513.7</v>
      </c>
    </row>
    <row r="41" spans="1:18" ht="31.5">
      <c r="A41" s="73">
        <v>29</v>
      </c>
      <c r="B41" s="75" t="s">
        <v>45</v>
      </c>
      <c r="C41" s="46">
        <f t="shared" si="0"/>
        <v>27679.351000000002</v>
      </c>
      <c r="D41" s="37">
        <v>0</v>
      </c>
      <c r="E41" s="37">
        <v>0</v>
      </c>
      <c r="F41" s="37">
        <v>14.757</v>
      </c>
      <c r="G41" s="37">
        <v>0</v>
      </c>
      <c r="H41" s="37">
        <v>0</v>
      </c>
      <c r="I41" s="37">
        <v>0</v>
      </c>
      <c r="J41" s="37">
        <v>0</v>
      </c>
      <c r="K41" s="38">
        <v>0</v>
      </c>
      <c r="L41" s="52">
        <f t="shared" si="2"/>
        <v>14.757</v>
      </c>
      <c r="M41" s="40">
        <f>24.9</f>
        <v>24.9</v>
      </c>
      <c r="N41" s="13">
        <f>4.035+0.4+26337.63</f>
        <v>26342.065000000002</v>
      </c>
      <c r="O41" s="37">
        <f>982.211+315.337</f>
        <v>1297.548</v>
      </c>
      <c r="P41" s="37">
        <v>0.081</v>
      </c>
      <c r="Q41" s="38">
        <v>0</v>
      </c>
      <c r="R41" s="39">
        <f t="shared" si="3"/>
        <v>27664.594</v>
      </c>
    </row>
    <row r="42" spans="1:18" ht="31.5">
      <c r="A42" s="72">
        <v>30</v>
      </c>
      <c r="B42" s="76" t="s">
        <v>46</v>
      </c>
      <c r="C42" s="36">
        <f>L42+R42</f>
        <v>20261.515</v>
      </c>
      <c r="D42" s="37">
        <v>0</v>
      </c>
      <c r="E42" s="37">
        <v>0</v>
      </c>
      <c r="F42" s="37">
        <v>5.8</v>
      </c>
      <c r="G42" s="37">
        <v>0</v>
      </c>
      <c r="H42" s="37">
        <v>0</v>
      </c>
      <c r="I42" s="37">
        <v>0</v>
      </c>
      <c r="J42" s="37">
        <v>0</v>
      </c>
      <c r="K42" s="38">
        <v>0</v>
      </c>
      <c r="L42" s="39">
        <f t="shared" si="2"/>
        <v>5.8</v>
      </c>
      <c r="M42" s="40">
        <f>40.973+7.518</f>
        <v>48.491</v>
      </c>
      <c r="N42" s="37">
        <f>0.252+34.628+7.923+11.875+19495.691</f>
        <v>19550.369</v>
      </c>
      <c r="O42" s="37">
        <f>402.805+251.08</f>
        <v>653.885</v>
      </c>
      <c r="P42" s="37">
        <v>2.97</v>
      </c>
      <c r="Q42" s="38">
        <v>0</v>
      </c>
      <c r="R42" s="39">
        <f t="shared" si="3"/>
        <v>20255.715</v>
      </c>
    </row>
    <row r="43" spans="1:18" ht="31.5">
      <c r="A43" s="73">
        <v>31</v>
      </c>
      <c r="B43" s="76" t="s">
        <v>47</v>
      </c>
      <c r="C43" s="36">
        <f t="shared" si="0"/>
        <v>17922.256999999998</v>
      </c>
      <c r="D43" s="37">
        <v>0</v>
      </c>
      <c r="E43" s="37">
        <v>0</v>
      </c>
      <c r="F43" s="37">
        <v>69.173</v>
      </c>
      <c r="G43" s="37">
        <v>0</v>
      </c>
      <c r="H43" s="37">
        <v>0</v>
      </c>
      <c r="I43" s="37">
        <v>0</v>
      </c>
      <c r="J43" s="37">
        <v>0</v>
      </c>
      <c r="K43" s="38">
        <v>0</v>
      </c>
      <c r="L43" s="39">
        <f t="shared" si="2"/>
        <v>69.173</v>
      </c>
      <c r="M43" s="40">
        <f>13.953+15.619</f>
        <v>29.572</v>
      </c>
      <c r="N43" s="12">
        <f>33.197+3.473+35.679+11.458+17155.622</f>
        <v>17239.429</v>
      </c>
      <c r="O43" s="37">
        <f>361.678+222.405</f>
        <v>584.083</v>
      </c>
      <c r="P43" s="37">
        <v>0</v>
      </c>
      <c r="Q43" s="38">
        <v>0</v>
      </c>
      <c r="R43" s="39">
        <f aca="true" t="shared" si="8" ref="R43:R60">SUM(M43:Q43)</f>
        <v>17853.084</v>
      </c>
    </row>
    <row r="44" spans="1:18" ht="31.5">
      <c r="A44" s="72">
        <v>32</v>
      </c>
      <c r="B44" s="76" t="s">
        <v>48</v>
      </c>
      <c r="C44" s="36">
        <f t="shared" si="0"/>
        <v>22226.899999999998</v>
      </c>
      <c r="D44" s="37"/>
      <c r="E44" s="37"/>
      <c r="F44" s="37">
        <v>48.2</v>
      </c>
      <c r="G44" s="37"/>
      <c r="H44" s="37"/>
      <c r="I44" s="37"/>
      <c r="J44" s="37"/>
      <c r="K44" s="38"/>
      <c r="L44" s="39">
        <f t="shared" si="2"/>
        <v>48.2</v>
      </c>
      <c r="M44" s="40">
        <f>19.7+1.4</f>
        <v>21.099999999999998</v>
      </c>
      <c r="N44" s="37">
        <f>25.6+4.5+47.9+13.6+20898.9</f>
        <v>20990.5</v>
      </c>
      <c r="O44" s="37">
        <f>870.3+290.7</f>
        <v>1161</v>
      </c>
      <c r="P44" s="37">
        <v>6.1</v>
      </c>
      <c r="Q44" s="38"/>
      <c r="R44" s="39">
        <f t="shared" si="8"/>
        <v>22178.699999999997</v>
      </c>
    </row>
    <row r="45" spans="1:18" ht="31.5">
      <c r="A45" s="73">
        <v>33</v>
      </c>
      <c r="B45" s="76" t="s">
        <v>49</v>
      </c>
      <c r="C45" s="36">
        <f t="shared" si="0"/>
        <v>27753.7</v>
      </c>
      <c r="D45" s="37"/>
      <c r="E45" s="37"/>
      <c r="F45" s="37">
        <v>18.3</v>
      </c>
      <c r="G45" s="37"/>
      <c r="H45" s="37"/>
      <c r="I45" s="37"/>
      <c r="J45" s="37"/>
      <c r="K45" s="38"/>
      <c r="L45" s="39">
        <f t="shared" si="2"/>
        <v>18.3</v>
      </c>
      <c r="M45" s="40">
        <v>98.2</v>
      </c>
      <c r="N45" s="37">
        <f>101.4+145.4+15.6+26683.5</f>
        <v>26945.9</v>
      </c>
      <c r="O45" s="37">
        <f>378.6+312.7</f>
        <v>691.3</v>
      </c>
      <c r="P45" s="37"/>
      <c r="Q45" s="38"/>
      <c r="R45" s="39">
        <f t="shared" si="8"/>
        <v>27735.4</v>
      </c>
    </row>
    <row r="46" spans="1:18" ht="31.5">
      <c r="A46" s="72">
        <v>34</v>
      </c>
      <c r="B46" s="76" t="s">
        <v>50</v>
      </c>
      <c r="C46" s="36">
        <f t="shared" si="0"/>
        <v>24410.899999999994</v>
      </c>
      <c r="D46" s="37"/>
      <c r="E46" s="37"/>
      <c r="F46" s="37">
        <v>26.1</v>
      </c>
      <c r="G46" s="37"/>
      <c r="H46" s="37"/>
      <c r="I46" s="37"/>
      <c r="J46" s="37"/>
      <c r="K46" s="38"/>
      <c r="L46" s="39">
        <f t="shared" si="2"/>
        <v>26.1</v>
      </c>
      <c r="M46" s="40">
        <v>23.1</v>
      </c>
      <c r="N46" s="37">
        <f>-0.1+36.7+8.4+23211.6</f>
        <v>23256.6</v>
      </c>
      <c r="O46" s="37">
        <f>799.1+305.5</f>
        <v>1104.6</v>
      </c>
      <c r="P46" s="37">
        <v>0.5</v>
      </c>
      <c r="Q46" s="38"/>
      <c r="R46" s="39">
        <f t="shared" si="8"/>
        <v>24384.799999999996</v>
      </c>
    </row>
    <row r="47" spans="1:18" ht="31.5">
      <c r="A47" s="73">
        <v>35</v>
      </c>
      <c r="B47" s="76" t="s">
        <v>51</v>
      </c>
      <c r="C47" s="36">
        <f t="shared" si="0"/>
        <v>469.70000000000005</v>
      </c>
      <c r="D47" s="37"/>
      <c r="E47" s="37"/>
      <c r="F47" s="37">
        <v>8.1</v>
      </c>
      <c r="G47" s="37"/>
      <c r="H47" s="37"/>
      <c r="I47" s="37"/>
      <c r="J47" s="37"/>
      <c r="K47" s="38"/>
      <c r="L47" s="39">
        <f t="shared" si="2"/>
        <v>8.1</v>
      </c>
      <c r="M47" s="40">
        <v>8.5</v>
      </c>
      <c r="N47" s="37">
        <v>329.8</v>
      </c>
      <c r="O47" s="37">
        <v>123</v>
      </c>
      <c r="P47" s="37">
        <v>0.3</v>
      </c>
      <c r="Q47" s="38"/>
      <c r="R47" s="39">
        <f t="shared" si="8"/>
        <v>461.6</v>
      </c>
    </row>
    <row r="48" spans="1:18" ht="31.5">
      <c r="A48" s="72">
        <v>36</v>
      </c>
      <c r="B48" s="76" t="s">
        <v>52</v>
      </c>
      <c r="C48" s="36">
        <f t="shared" si="0"/>
        <v>8235.9</v>
      </c>
      <c r="D48" s="37">
        <v>3.5</v>
      </c>
      <c r="E48" s="37"/>
      <c r="F48" s="37">
        <v>15.6</v>
      </c>
      <c r="G48" s="37"/>
      <c r="H48" s="37">
        <v>25.8</v>
      </c>
      <c r="I48" s="37"/>
      <c r="J48" s="37"/>
      <c r="K48" s="38"/>
      <c r="L48" s="39">
        <f t="shared" si="2"/>
        <v>44.900000000000006</v>
      </c>
      <c r="M48" s="40">
        <f>96.6+47.6</f>
        <v>144.2</v>
      </c>
      <c r="N48" s="37">
        <f>46.2+136.7+38+123.2+7356.9</f>
        <v>7701</v>
      </c>
      <c r="O48" s="37">
        <f>246.2+99.6</f>
        <v>345.79999999999995</v>
      </c>
      <c r="P48" s="37"/>
      <c r="Q48" s="38"/>
      <c r="R48" s="39">
        <f t="shared" si="8"/>
        <v>8191</v>
      </c>
    </row>
    <row r="49" spans="1:18" ht="31.5">
      <c r="A49" s="73">
        <v>37</v>
      </c>
      <c r="B49" s="76" t="s">
        <v>53</v>
      </c>
      <c r="C49" s="36">
        <f t="shared" si="0"/>
        <v>14091.699999999999</v>
      </c>
      <c r="D49" s="37"/>
      <c r="E49" s="37"/>
      <c r="F49" s="37">
        <v>4.3</v>
      </c>
      <c r="G49" s="37"/>
      <c r="H49" s="37">
        <v>23.5</v>
      </c>
      <c r="I49" s="37"/>
      <c r="J49" s="37"/>
      <c r="K49" s="38"/>
      <c r="L49" s="39">
        <f t="shared" si="2"/>
        <v>27.8</v>
      </c>
      <c r="M49" s="40">
        <f>35.8+2.2</f>
        <v>38</v>
      </c>
      <c r="N49" s="37">
        <f>13143+78+9.8+686.4</f>
        <v>13917.199999999999</v>
      </c>
      <c r="O49" s="37">
        <v>108.1</v>
      </c>
      <c r="P49" s="37">
        <v>0.6</v>
      </c>
      <c r="Q49" s="38"/>
      <c r="R49" s="39">
        <f t="shared" si="8"/>
        <v>14063.9</v>
      </c>
    </row>
    <row r="50" spans="1:18" ht="31.5">
      <c r="A50" s="72">
        <v>38</v>
      </c>
      <c r="B50" s="76" t="s">
        <v>54</v>
      </c>
      <c r="C50" s="36">
        <f t="shared" si="0"/>
        <v>14414.699999999997</v>
      </c>
      <c r="D50" s="37">
        <v>0.4</v>
      </c>
      <c r="E50" s="37"/>
      <c r="F50" s="37">
        <v>10.1</v>
      </c>
      <c r="G50" s="37"/>
      <c r="H50" s="37">
        <v>99.9</v>
      </c>
      <c r="I50" s="37"/>
      <c r="J50" s="37"/>
      <c r="K50" s="38"/>
      <c r="L50" s="39">
        <f t="shared" si="2"/>
        <v>110.4</v>
      </c>
      <c r="M50" s="40">
        <f>33+2</f>
        <v>35</v>
      </c>
      <c r="N50" s="37">
        <f>34.7+222.4+12.4+5.4+13828.8</f>
        <v>14103.699999999999</v>
      </c>
      <c r="O50" s="37">
        <v>162.8</v>
      </c>
      <c r="P50" s="37">
        <v>2.8</v>
      </c>
      <c r="Q50" s="38"/>
      <c r="R50" s="39">
        <f t="shared" si="8"/>
        <v>14304.299999999997</v>
      </c>
    </row>
    <row r="51" spans="1:18" ht="31.5">
      <c r="A51" s="73">
        <v>39</v>
      </c>
      <c r="B51" s="76" t="s">
        <v>55</v>
      </c>
      <c r="C51" s="36">
        <f>L51+R51</f>
        <v>8347.7</v>
      </c>
      <c r="D51" s="37"/>
      <c r="E51" s="37"/>
      <c r="F51" s="37">
        <v>9.6</v>
      </c>
      <c r="G51" s="37"/>
      <c r="H51" s="37"/>
      <c r="I51" s="37"/>
      <c r="J51" s="37"/>
      <c r="K51" s="38"/>
      <c r="L51" s="39">
        <f t="shared" si="2"/>
        <v>9.6</v>
      </c>
      <c r="M51" s="40">
        <f>12.3+45</f>
        <v>57.3</v>
      </c>
      <c r="N51" s="37">
        <f>316.5+3.8+0.1+7.4+7593</f>
        <v>7920.8</v>
      </c>
      <c r="O51" s="37">
        <v>360</v>
      </c>
      <c r="P51" s="37"/>
      <c r="Q51" s="38"/>
      <c r="R51" s="39">
        <f t="shared" si="8"/>
        <v>8338.1</v>
      </c>
    </row>
    <row r="52" spans="1:18" ht="31.5">
      <c r="A52" s="72">
        <v>40</v>
      </c>
      <c r="B52" s="76" t="s">
        <v>56</v>
      </c>
      <c r="C52" s="36">
        <f t="shared" si="0"/>
        <v>6750.9</v>
      </c>
      <c r="D52" s="37">
        <v>0.1</v>
      </c>
      <c r="E52" s="37"/>
      <c r="F52" s="37">
        <v>15.4</v>
      </c>
      <c r="G52" s="37"/>
      <c r="H52" s="37"/>
      <c r="I52" s="37"/>
      <c r="J52" s="37"/>
      <c r="K52" s="38"/>
      <c r="L52" s="39">
        <f t="shared" si="2"/>
        <v>15.5</v>
      </c>
      <c r="M52" s="40">
        <f>52.4+5.6</f>
        <v>58</v>
      </c>
      <c r="N52" s="37">
        <f>265.9+101+7.8+5893.5</f>
        <v>6268.2</v>
      </c>
      <c r="O52" s="37">
        <v>44.3</v>
      </c>
      <c r="P52" s="37">
        <v>364.9</v>
      </c>
      <c r="Q52" s="38"/>
      <c r="R52" s="39">
        <f t="shared" si="8"/>
        <v>6735.4</v>
      </c>
    </row>
    <row r="53" spans="1:18" ht="31.5">
      <c r="A53" s="73">
        <v>41</v>
      </c>
      <c r="B53" s="76" t="s">
        <v>57</v>
      </c>
      <c r="C53" s="36">
        <f t="shared" si="0"/>
        <v>10434.9</v>
      </c>
      <c r="D53" s="37"/>
      <c r="E53" s="37"/>
      <c r="F53" s="37">
        <v>72</v>
      </c>
      <c r="G53" s="37"/>
      <c r="H53" s="37"/>
      <c r="I53" s="37"/>
      <c r="J53" s="37"/>
      <c r="K53" s="38"/>
      <c r="L53" s="39">
        <f t="shared" si="2"/>
        <v>72</v>
      </c>
      <c r="M53" s="40">
        <f>30.6+31.8</f>
        <v>62.400000000000006</v>
      </c>
      <c r="N53" s="37">
        <f>965.5+140.1+5.7+9.9+8346</f>
        <v>9467.2</v>
      </c>
      <c r="O53" s="37">
        <v>833</v>
      </c>
      <c r="P53" s="37">
        <v>0.3</v>
      </c>
      <c r="Q53" s="38"/>
      <c r="R53" s="39">
        <f t="shared" si="8"/>
        <v>10362.9</v>
      </c>
    </row>
    <row r="54" spans="1:18" ht="31.5">
      <c r="A54" s="72">
        <v>42</v>
      </c>
      <c r="B54" s="76" t="s">
        <v>58</v>
      </c>
      <c r="C54" s="36">
        <f t="shared" si="0"/>
        <v>13066.300000000001</v>
      </c>
      <c r="D54" s="37">
        <v>1.7</v>
      </c>
      <c r="E54" s="37"/>
      <c r="F54" s="37">
        <v>60</v>
      </c>
      <c r="G54" s="37"/>
      <c r="H54" s="37">
        <v>164</v>
      </c>
      <c r="I54" s="37"/>
      <c r="J54" s="37"/>
      <c r="K54" s="38"/>
      <c r="L54" s="39">
        <f t="shared" si="2"/>
        <v>225.7</v>
      </c>
      <c r="M54" s="40">
        <f>23+2.9</f>
        <v>25.9</v>
      </c>
      <c r="N54" s="37">
        <f>4.3+2.8+16.9+10752.2</f>
        <v>10776.2</v>
      </c>
      <c r="O54" s="37">
        <v>1276.8</v>
      </c>
      <c r="P54" s="37">
        <v>761.7</v>
      </c>
      <c r="Q54" s="38"/>
      <c r="R54" s="39">
        <f t="shared" si="8"/>
        <v>12840.6</v>
      </c>
    </row>
    <row r="55" spans="1:18" ht="31.5">
      <c r="A55" s="73">
        <v>43</v>
      </c>
      <c r="B55" s="76" t="s">
        <v>59</v>
      </c>
      <c r="C55" s="36">
        <f t="shared" si="0"/>
        <v>23129.3</v>
      </c>
      <c r="D55" s="37"/>
      <c r="E55" s="37"/>
      <c r="F55" s="37">
        <v>6.1</v>
      </c>
      <c r="G55" s="37"/>
      <c r="H55" s="37">
        <v>64.7</v>
      </c>
      <c r="I55" s="37"/>
      <c r="J55" s="37"/>
      <c r="K55" s="38"/>
      <c r="L55" s="39">
        <f t="shared" si="2"/>
        <v>70.8</v>
      </c>
      <c r="M55" s="40">
        <f>14.2+19.6</f>
        <v>33.8</v>
      </c>
      <c r="N55" s="37">
        <f>49.6+1+16.8+15.4+22288.4</f>
        <v>22371.2</v>
      </c>
      <c r="O55" s="37">
        <f>285.6+278.3</f>
        <v>563.9000000000001</v>
      </c>
      <c r="P55" s="37">
        <v>89.6</v>
      </c>
      <c r="Q55" s="38"/>
      <c r="R55" s="39">
        <f t="shared" si="8"/>
        <v>23058.5</v>
      </c>
    </row>
    <row r="56" spans="1:18" ht="31.5">
      <c r="A56" s="72">
        <v>44</v>
      </c>
      <c r="B56" s="76" t="s">
        <v>60</v>
      </c>
      <c r="C56" s="36">
        <f t="shared" si="0"/>
        <v>25251.100000000002</v>
      </c>
      <c r="D56" s="37"/>
      <c r="E56" s="37"/>
      <c r="F56" s="37">
        <v>4.8</v>
      </c>
      <c r="G56" s="37"/>
      <c r="H56" s="37"/>
      <c r="I56" s="37"/>
      <c r="J56" s="37"/>
      <c r="K56" s="38"/>
      <c r="L56" s="39">
        <f t="shared" si="2"/>
        <v>4.8</v>
      </c>
      <c r="M56" s="40">
        <f>35+1.8</f>
        <v>36.8</v>
      </c>
      <c r="N56" s="37">
        <f>7+2.1+4.7+15.4+23780.9</f>
        <v>23810.100000000002</v>
      </c>
      <c r="O56" s="37">
        <f>1097.1+300.1</f>
        <v>1397.1999999999998</v>
      </c>
      <c r="P56" s="37">
        <v>2.2</v>
      </c>
      <c r="Q56" s="38"/>
      <c r="R56" s="39">
        <f t="shared" si="8"/>
        <v>25246.300000000003</v>
      </c>
    </row>
    <row r="57" spans="1:18" ht="31.5">
      <c r="A57" s="73">
        <v>45</v>
      </c>
      <c r="B57" s="49" t="s">
        <v>61</v>
      </c>
      <c r="C57" s="36">
        <f t="shared" si="0"/>
        <v>16134.5</v>
      </c>
      <c r="D57" s="37"/>
      <c r="E57" s="37"/>
      <c r="F57" s="37">
        <v>26.9</v>
      </c>
      <c r="G57" s="37"/>
      <c r="H57" s="37"/>
      <c r="I57" s="37"/>
      <c r="J57" s="37"/>
      <c r="K57" s="38"/>
      <c r="L57" s="39">
        <f t="shared" si="2"/>
        <v>26.9</v>
      </c>
      <c r="M57" s="40">
        <f>46.1+49.2</f>
        <v>95.30000000000001</v>
      </c>
      <c r="N57" s="37">
        <f>2.3+5.7+17.5+9.7+15436.7</f>
        <v>15471.900000000001</v>
      </c>
      <c r="O57" s="37">
        <f>357.4+183</f>
        <v>540.4</v>
      </c>
      <c r="P57" s="37"/>
      <c r="Q57" s="38"/>
      <c r="R57" s="39">
        <f t="shared" si="8"/>
        <v>16107.6</v>
      </c>
    </row>
    <row r="58" spans="1:18" ht="31.5">
      <c r="A58" s="72">
        <v>46</v>
      </c>
      <c r="B58" s="49" t="s">
        <v>62</v>
      </c>
      <c r="C58" s="36">
        <f t="shared" si="0"/>
        <v>12328.4</v>
      </c>
      <c r="D58" s="37"/>
      <c r="E58" s="37"/>
      <c r="F58" s="37">
        <v>2.6</v>
      </c>
      <c r="G58" s="37"/>
      <c r="H58" s="37"/>
      <c r="I58" s="37"/>
      <c r="J58" s="37"/>
      <c r="K58" s="38"/>
      <c r="L58" s="39">
        <f t="shared" si="2"/>
        <v>2.6</v>
      </c>
      <c r="M58" s="40">
        <f>6.8</f>
        <v>6.8</v>
      </c>
      <c r="N58" s="37">
        <f>20.9+1.8+5.8+9+12044.8</f>
        <v>12082.3</v>
      </c>
      <c r="O58" s="37">
        <f>90.8+145.7</f>
        <v>236.5</v>
      </c>
      <c r="P58" s="37">
        <v>0.2</v>
      </c>
      <c r="Q58" s="38"/>
      <c r="R58" s="39">
        <f t="shared" si="8"/>
        <v>12325.8</v>
      </c>
    </row>
    <row r="59" spans="1:18" ht="31.5">
      <c r="A59" s="73">
        <v>47</v>
      </c>
      <c r="B59" s="49" t="s">
        <v>63</v>
      </c>
      <c r="C59" s="36">
        <f t="shared" si="0"/>
        <v>20166.1</v>
      </c>
      <c r="D59" s="37"/>
      <c r="E59" s="37"/>
      <c r="F59" s="37"/>
      <c r="G59" s="37"/>
      <c r="H59" s="37"/>
      <c r="I59" s="37"/>
      <c r="J59" s="37"/>
      <c r="K59" s="38"/>
      <c r="L59" s="39">
        <f t="shared" si="2"/>
        <v>0</v>
      </c>
      <c r="M59" s="40">
        <f>29.1+1</f>
        <v>30.1</v>
      </c>
      <c r="N59" s="37">
        <f>12.1+66.2+6.3+37.3+19775.3</f>
        <v>19897.2</v>
      </c>
      <c r="O59" s="37">
        <f>185.8+53</f>
        <v>238.8</v>
      </c>
      <c r="P59" s="37"/>
      <c r="Q59" s="38"/>
      <c r="R59" s="39">
        <f t="shared" si="8"/>
        <v>20166.1</v>
      </c>
    </row>
    <row r="60" spans="1:18" ht="31.5">
      <c r="A60" s="72">
        <v>48</v>
      </c>
      <c r="B60" s="49" t="s">
        <v>64</v>
      </c>
      <c r="C60" s="36">
        <f t="shared" si="0"/>
        <v>16275.400000000001</v>
      </c>
      <c r="D60" s="37"/>
      <c r="E60" s="37"/>
      <c r="F60" s="37">
        <v>2.3</v>
      </c>
      <c r="G60" s="37"/>
      <c r="H60" s="37"/>
      <c r="I60" s="37"/>
      <c r="J60" s="37"/>
      <c r="K60" s="38"/>
      <c r="L60" s="39">
        <f t="shared" si="2"/>
        <v>2.3</v>
      </c>
      <c r="M60" s="40">
        <f>24.2</f>
        <v>24.2</v>
      </c>
      <c r="N60" s="37">
        <f>55.6+14966.6+330.1+577.2</f>
        <v>15929.500000000002</v>
      </c>
      <c r="O60" s="37">
        <v>151.8</v>
      </c>
      <c r="P60" s="37">
        <v>167.6</v>
      </c>
      <c r="Q60" s="38"/>
      <c r="R60" s="39">
        <f t="shared" si="8"/>
        <v>16273.100000000002</v>
      </c>
    </row>
    <row r="61" spans="1:18" ht="31.5">
      <c r="A61" s="73">
        <v>49</v>
      </c>
      <c r="B61" s="49" t="s">
        <v>65</v>
      </c>
      <c r="C61" s="36">
        <f t="shared" si="0"/>
        <v>26323</v>
      </c>
      <c r="D61" s="37"/>
      <c r="E61" s="37"/>
      <c r="F61" s="37"/>
      <c r="G61" s="37"/>
      <c r="H61" s="37"/>
      <c r="I61" s="37"/>
      <c r="J61" s="37"/>
      <c r="K61" s="38"/>
      <c r="L61" s="39">
        <f t="shared" si="2"/>
        <v>0</v>
      </c>
      <c r="M61" s="40">
        <f>46.2+6.9</f>
        <v>53.1</v>
      </c>
      <c r="N61" s="37">
        <f>50.6+3.2+12.8+17.1+23955.2</f>
        <v>24038.9</v>
      </c>
      <c r="O61" s="37">
        <f>1868.5+324.2</f>
        <v>2192.7</v>
      </c>
      <c r="P61" s="37">
        <v>35.3</v>
      </c>
      <c r="Q61" s="38">
        <v>3</v>
      </c>
      <c r="R61" s="39">
        <f>M61+N61+O61+P61+Q61</f>
        <v>26323</v>
      </c>
    </row>
    <row r="62" spans="1:18" ht="31.5">
      <c r="A62" s="72">
        <v>50</v>
      </c>
      <c r="B62" s="49" t="s">
        <v>66</v>
      </c>
      <c r="C62" s="36">
        <f t="shared" si="0"/>
        <v>5132.4</v>
      </c>
      <c r="D62" s="37"/>
      <c r="E62" s="37"/>
      <c r="F62" s="37"/>
      <c r="G62" s="37"/>
      <c r="H62" s="37">
        <v>140.2</v>
      </c>
      <c r="I62" s="37"/>
      <c r="J62" s="37"/>
      <c r="K62" s="38"/>
      <c r="L62" s="39">
        <f t="shared" si="2"/>
        <v>140.2</v>
      </c>
      <c r="M62" s="40">
        <f>8.9+41</f>
        <v>49.9</v>
      </c>
      <c r="N62" s="37">
        <f>73.3+1.5+0.9+15.6+4558.2</f>
        <v>4649.5</v>
      </c>
      <c r="O62" s="37">
        <v>292.7</v>
      </c>
      <c r="P62" s="37">
        <v>0.1</v>
      </c>
      <c r="Q62" s="38"/>
      <c r="R62" s="39">
        <f aca="true" t="shared" si="9" ref="R62:R69">SUM(M62:Q62)</f>
        <v>4992.2</v>
      </c>
    </row>
    <row r="63" spans="1:18" ht="31.5">
      <c r="A63" s="73">
        <v>51</v>
      </c>
      <c r="B63" s="49" t="s">
        <v>67</v>
      </c>
      <c r="C63" s="36">
        <f t="shared" si="0"/>
        <v>10943.900000000001</v>
      </c>
      <c r="D63" s="37"/>
      <c r="E63" s="37"/>
      <c r="F63" s="37">
        <v>2.5</v>
      </c>
      <c r="G63" s="37"/>
      <c r="H63" s="37"/>
      <c r="I63" s="37"/>
      <c r="J63" s="37"/>
      <c r="K63" s="38"/>
      <c r="L63" s="39">
        <f t="shared" si="2"/>
        <v>2.5</v>
      </c>
      <c r="M63" s="40">
        <v>2.7</v>
      </c>
      <c r="N63" s="37">
        <f>22.5+13.2+10696.7</f>
        <v>10732.400000000001</v>
      </c>
      <c r="O63" s="37">
        <f>54.2+152.1</f>
        <v>206.3</v>
      </c>
      <c r="P63" s="37"/>
      <c r="Q63" s="38"/>
      <c r="R63" s="39">
        <f t="shared" si="9"/>
        <v>10941.400000000001</v>
      </c>
    </row>
    <row r="64" spans="1:18" ht="22.5" customHeight="1">
      <c r="A64" s="72">
        <v>52</v>
      </c>
      <c r="B64" s="49" t="s">
        <v>68</v>
      </c>
      <c r="C64" s="36">
        <f t="shared" si="0"/>
        <v>1212.7</v>
      </c>
      <c r="D64" s="37"/>
      <c r="E64" s="37"/>
      <c r="F64" s="37">
        <v>18.8</v>
      </c>
      <c r="G64" s="37"/>
      <c r="H64" s="37"/>
      <c r="I64" s="37"/>
      <c r="J64" s="37"/>
      <c r="K64" s="38"/>
      <c r="L64" s="39">
        <f t="shared" si="2"/>
        <v>18.8</v>
      </c>
      <c r="M64" s="40">
        <f>459.5+73.8</f>
        <v>533.3</v>
      </c>
      <c r="N64" s="37">
        <f>113.7+2.5</f>
        <v>116.2</v>
      </c>
      <c r="O64" s="37">
        <v>542.9</v>
      </c>
      <c r="P64" s="37">
        <v>1.5</v>
      </c>
      <c r="Q64" s="38"/>
      <c r="R64" s="39">
        <f t="shared" si="9"/>
        <v>1193.9</v>
      </c>
    </row>
    <row r="65" spans="1:18" ht="26.25" customHeight="1">
      <c r="A65" s="73">
        <v>53</v>
      </c>
      <c r="B65" s="49" t="s">
        <v>69</v>
      </c>
      <c r="C65" s="36">
        <f t="shared" si="0"/>
        <v>2000.5</v>
      </c>
      <c r="D65" s="37">
        <v>0</v>
      </c>
      <c r="E65" s="37">
        <v>0</v>
      </c>
      <c r="F65" s="37">
        <v>121.7</v>
      </c>
      <c r="G65" s="37">
        <v>0</v>
      </c>
      <c r="H65" s="37">
        <v>0</v>
      </c>
      <c r="I65" s="37">
        <v>0</v>
      </c>
      <c r="J65" s="37">
        <v>0</v>
      </c>
      <c r="K65" s="38">
        <v>0</v>
      </c>
      <c r="L65" s="39">
        <f t="shared" si="2"/>
        <v>121.7</v>
      </c>
      <c r="M65" s="40">
        <f>590.4</f>
        <v>590.4</v>
      </c>
      <c r="N65" s="37">
        <f>322.8+2.2+518.2</f>
        <v>843.2</v>
      </c>
      <c r="O65" s="37">
        <f>334.8</f>
        <v>334.8</v>
      </c>
      <c r="P65" s="37">
        <v>110.4</v>
      </c>
      <c r="Q65" s="38">
        <v>0</v>
      </c>
      <c r="R65" s="39">
        <f t="shared" si="9"/>
        <v>1878.8</v>
      </c>
    </row>
    <row r="66" spans="1:18" ht="23.25" customHeight="1" thickBot="1">
      <c r="A66" s="72">
        <v>54</v>
      </c>
      <c r="B66" s="49" t="s">
        <v>70</v>
      </c>
      <c r="C66" s="36">
        <f t="shared" si="0"/>
        <v>519.3</v>
      </c>
      <c r="D66" s="37">
        <v>2</v>
      </c>
      <c r="E66" s="37"/>
      <c r="F66" s="37">
        <v>13.8</v>
      </c>
      <c r="G66" s="37"/>
      <c r="H66" s="37"/>
      <c r="I66" s="37"/>
      <c r="J66" s="37"/>
      <c r="K66" s="38"/>
      <c r="L66" s="39">
        <f t="shared" si="2"/>
        <v>15.8</v>
      </c>
      <c r="M66" s="40">
        <f>70.8+28.7</f>
        <v>99.5</v>
      </c>
      <c r="N66" s="37">
        <f>35.2+6.3+14.6+13.8+36.9</f>
        <v>106.80000000000001</v>
      </c>
      <c r="O66" s="37">
        <f>239.5+13.3</f>
        <v>252.8</v>
      </c>
      <c r="P66" s="37">
        <v>44.4</v>
      </c>
      <c r="Q66" s="38"/>
      <c r="R66" s="51">
        <f t="shared" si="9"/>
        <v>503.5</v>
      </c>
    </row>
    <row r="67" spans="1:19" ht="23.25" customHeight="1">
      <c r="A67" s="73">
        <v>55</v>
      </c>
      <c r="B67" s="49" t="s">
        <v>71</v>
      </c>
      <c r="C67" s="36">
        <f t="shared" si="0"/>
        <v>222.20000000000002</v>
      </c>
      <c r="D67" s="37">
        <v>1.9</v>
      </c>
      <c r="E67" s="37"/>
      <c r="F67" s="37">
        <v>1.5</v>
      </c>
      <c r="G67" s="37"/>
      <c r="H67" s="37"/>
      <c r="I67" s="37"/>
      <c r="J67" s="37"/>
      <c r="K67" s="38"/>
      <c r="L67" s="39">
        <f t="shared" si="2"/>
        <v>3.4</v>
      </c>
      <c r="M67" s="40">
        <f>53.5+31.3</f>
        <v>84.8</v>
      </c>
      <c r="N67" s="37">
        <f>72.5+3.6+0.9</f>
        <v>77</v>
      </c>
      <c r="O67" s="37">
        <v>30.5</v>
      </c>
      <c r="P67" s="37">
        <v>26.5</v>
      </c>
      <c r="Q67" s="38"/>
      <c r="R67" s="69">
        <f t="shared" si="9"/>
        <v>218.8</v>
      </c>
      <c r="S67" s="58"/>
    </row>
    <row r="68" spans="1:19" ht="21.75" customHeight="1" thickBot="1">
      <c r="A68" s="72">
        <v>56</v>
      </c>
      <c r="B68" s="42" t="s">
        <v>72</v>
      </c>
      <c r="C68" s="43">
        <f t="shared" si="0"/>
        <v>649.6999999999999</v>
      </c>
      <c r="D68" s="37">
        <v>1.6</v>
      </c>
      <c r="E68" s="37"/>
      <c r="F68" s="37">
        <v>43.2</v>
      </c>
      <c r="G68" s="37"/>
      <c r="H68" s="37"/>
      <c r="I68" s="37"/>
      <c r="J68" s="37"/>
      <c r="K68" s="38"/>
      <c r="L68" s="51">
        <f t="shared" si="2"/>
        <v>44.800000000000004</v>
      </c>
      <c r="M68" s="40">
        <f>101.2</f>
        <v>101.2</v>
      </c>
      <c r="N68" s="37">
        <f>216+110.2+23.4</f>
        <v>349.59999999999997</v>
      </c>
      <c r="O68" s="37">
        <v>153</v>
      </c>
      <c r="P68" s="37">
        <v>1.1</v>
      </c>
      <c r="Q68" s="38"/>
      <c r="R68" s="51">
        <f t="shared" si="9"/>
        <v>604.9</v>
      </c>
      <c r="S68" s="58"/>
    </row>
    <row r="69" spans="1:19" s="29" customFormat="1" ht="24" customHeight="1" thickBot="1">
      <c r="A69" s="83" t="s">
        <v>73</v>
      </c>
      <c r="B69" s="84"/>
      <c r="C69" s="44">
        <f t="shared" si="0"/>
        <v>376354.9230000001</v>
      </c>
      <c r="D69" s="44">
        <f aca="true" t="shared" si="10" ref="D69:K69">D68+D67+D66+D65+D64+D63+D62+D61+D60+D59+D58+D57+D56+D55+D54+D53+D52+D51+D50+D49+D48+D47+D46+D45+D44+D43+D42+D41</f>
        <v>11.2</v>
      </c>
      <c r="E69" s="44">
        <f t="shared" si="10"/>
        <v>0</v>
      </c>
      <c r="F69" s="44">
        <f t="shared" si="10"/>
        <v>621.6300000000001</v>
      </c>
      <c r="G69" s="44">
        <f t="shared" si="10"/>
        <v>0</v>
      </c>
      <c r="H69" s="44">
        <f t="shared" si="10"/>
        <v>518.0999999999999</v>
      </c>
      <c r="I69" s="44">
        <f t="shared" si="10"/>
        <v>0</v>
      </c>
      <c r="J69" s="44">
        <f t="shared" si="10"/>
        <v>0</v>
      </c>
      <c r="K69" s="44">
        <f t="shared" si="10"/>
        <v>0</v>
      </c>
      <c r="L69" s="44">
        <f aca="true" t="shared" si="11" ref="L69:Q69">L68+L67+L66+L65+L64+L63+L62+L61+L60+L59+L58+L57+L56+L55+L54+L53+L52+L51+L50+L49+L48+L47+L46+L45+L44+L43+L42+L41</f>
        <v>1150.9299999999998</v>
      </c>
      <c r="M69" s="44">
        <f t="shared" si="11"/>
        <v>2416.5629999999996</v>
      </c>
      <c r="N69" s="44">
        <f t="shared" si="11"/>
        <v>355284.7630000001</v>
      </c>
      <c r="O69" s="44">
        <f t="shared" si="11"/>
        <v>15880.515999999998</v>
      </c>
      <c r="P69" s="44">
        <f t="shared" si="11"/>
        <v>1619.1509999999994</v>
      </c>
      <c r="Q69" s="44">
        <f t="shared" si="11"/>
        <v>3</v>
      </c>
      <c r="R69" s="44">
        <f t="shared" si="9"/>
        <v>375203.99300000013</v>
      </c>
      <c r="S69" s="31"/>
    </row>
    <row r="70" spans="1:19" s="29" customFormat="1" ht="21.75" customHeight="1" thickBot="1">
      <c r="A70" s="83" t="s">
        <v>74</v>
      </c>
      <c r="B70" s="84"/>
      <c r="C70" s="44">
        <f aca="true" t="shared" si="12" ref="C70:R70">C69+C40+C34+C28+C11</f>
        <v>3743098.16</v>
      </c>
      <c r="D70" s="44">
        <f t="shared" si="12"/>
        <v>2802.734</v>
      </c>
      <c r="E70" s="44">
        <f t="shared" si="12"/>
        <v>734345.6000000001</v>
      </c>
      <c r="F70" s="44">
        <f t="shared" si="12"/>
        <v>2160441.3299999996</v>
      </c>
      <c r="G70" s="44">
        <f t="shared" si="12"/>
        <v>94335.1</v>
      </c>
      <c r="H70" s="44">
        <f t="shared" si="12"/>
        <v>16014.7</v>
      </c>
      <c r="I70" s="44">
        <f t="shared" si="12"/>
        <v>2652.2999999999997</v>
      </c>
      <c r="J70" s="44">
        <f t="shared" si="12"/>
        <v>74.5</v>
      </c>
      <c r="K70" s="44">
        <f t="shared" si="12"/>
        <v>9698.8</v>
      </c>
      <c r="L70" s="44">
        <f t="shared" si="12"/>
        <v>3020365.0640000002</v>
      </c>
      <c r="M70" s="44">
        <f t="shared" si="12"/>
        <v>74772.763</v>
      </c>
      <c r="N70" s="44">
        <f t="shared" si="12"/>
        <v>487899.7870000001</v>
      </c>
      <c r="O70" s="44">
        <f t="shared" si="12"/>
        <v>101562.431</v>
      </c>
      <c r="P70" s="44">
        <f t="shared" si="12"/>
        <v>14114.915</v>
      </c>
      <c r="Q70" s="44">
        <f t="shared" si="12"/>
        <v>44383.200000000004</v>
      </c>
      <c r="R70" s="44">
        <f t="shared" si="12"/>
        <v>722733.0960000001</v>
      </c>
      <c r="S70" s="31"/>
    </row>
    <row r="71" spans="1:19" ht="15.75">
      <c r="A71" s="73">
        <v>57</v>
      </c>
      <c r="B71" s="35" t="s">
        <v>75</v>
      </c>
      <c r="C71" s="46">
        <f t="shared" si="0"/>
        <v>95323.71</v>
      </c>
      <c r="D71" s="37">
        <v>23.5</v>
      </c>
      <c r="E71" s="37">
        <v>0</v>
      </c>
      <c r="F71" s="37">
        <v>73206.391</v>
      </c>
      <c r="G71" s="37">
        <v>0</v>
      </c>
      <c r="H71" s="37">
        <v>3.14</v>
      </c>
      <c r="I71" s="37">
        <v>0</v>
      </c>
      <c r="J71" s="37">
        <v>0</v>
      </c>
      <c r="K71" s="38">
        <v>0</v>
      </c>
      <c r="L71" s="52">
        <f t="shared" si="2"/>
        <v>73233.031</v>
      </c>
      <c r="M71" s="40">
        <f>7072.876+3114.259</f>
        <v>10187.135</v>
      </c>
      <c r="N71" s="37">
        <f>395.3+231.132+24.636+3.472+18.9</f>
        <v>673.4399999999999</v>
      </c>
      <c r="O71" s="37">
        <f>11192.432+33.822</f>
        <v>11226.254</v>
      </c>
      <c r="P71" s="37">
        <v>0</v>
      </c>
      <c r="Q71" s="38">
        <v>3.85</v>
      </c>
      <c r="R71" s="68">
        <f>SUM(M71:Q71)</f>
        <v>22090.679</v>
      </c>
      <c r="S71" s="58"/>
    </row>
    <row r="72" spans="1:18" ht="31.5">
      <c r="A72" s="72">
        <v>58</v>
      </c>
      <c r="B72" s="49" t="s">
        <v>76</v>
      </c>
      <c r="C72" s="36">
        <f t="shared" si="0"/>
        <v>60204.299999999996</v>
      </c>
      <c r="D72" s="37">
        <v>58.271</v>
      </c>
      <c r="E72" s="37">
        <v>5264.702</v>
      </c>
      <c r="F72" s="37">
        <v>44676.075</v>
      </c>
      <c r="G72" s="37">
        <v>0</v>
      </c>
      <c r="H72" s="37">
        <v>142.551</v>
      </c>
      <c r="I72" s="37">
        <v>150</v>
      </c>
      <c r="J72" s="37">
        <v>0</v>
      </c>
      <c r="K72" s="38">
        <v>0</v>
      </c>
      <c r="L72" s="52">
        <f t="shared" si="2"/>
        <v>50291.598999999995</v>
      </c>
      <c r="M72" s="40">
        <f>2984.621+2158.611</f>
        <v>5143.232</v>
      </c>
      <c r="N72" s="37">
        <f>49.225+59.098+7.586+85.834</f>
        <v>201.743</v>
      </c>
      <c r="O72" s="37">
        <v>4530.403</v>
      </c>
      <c r="P72" s="37">
        <v>37.323</v>
      </c>
      <c r="Q72" s="38">
        <v>0</v>
      </c>
      <c r="R72" s="39">
        <f>SUM(M72:Q72)</f>
        <v>9912.701000000001</v>
      </c>
    </row>
    <row r="73" spans="1:18" ht="31.5">
      <c r="A73" s="73">
        <v>59</v>
      </c>
      <c r="B73" s="49" t="s">
        <v>77</v>
      </c>
      <c r="C73" s="36">
        <f>L73+R73</f>
        <v>154659.908</v>
      </c>
      <c r="D73" s="37">
        <v>3.499</v>
      </c>
      <c r="E73" s="37">
        <v>3015.316</v>
      </c>
      <c r="F73" s="37">
        <v>137718.485</v>
      </c>
      <c r="G73" s="37"/>
      <c r="H73" s="37">
        <v>0</v>
      </c>
      <c r="I73" s="37">
        <v>0</v>
      </c>
      <c r="J73" s="37">
        <v>0</v>
      </c>
      <c r="K73" s="38">
        <v>0</v>
      </c>
      <c r="L73" s="39">
        <f>SUM(D73:K73)</f>
        <v>140737.3</v>
      </c>
      <c r="M73" s="40">
        <f>2383.374+9684.346</f>
        <v>12067.72</v>
      </c>
      <c r="N73" s="12">
        <f>152.656+9.078+8.5+0.28+3.696</f>
        <v>174.21</v>
      </c>
      <c r="O73" s="37">
        <v>1660.078</v>
      </c>
      <c r="P73" s="37">
        <v>20.6</v>
      </c>
      <c r="Q73" s="38">
        <v>0</v>
      </c>
      <c r="R73" s="39">
        <f>SUM(M73:Q73)</f>
        <v>13922.607999999998</v>
      </c>
    </row>
    <row r="74" spans="1:18" ht="19.5">
      <c r="A74" s="72">
        <v>60</v>
      </c>
      <c r="B74" s="49" t="s">
        <v>78</v>
      </c>
      <c r="C74" s="36">
        <f aca="true" t="shared" si="13" ref="C74:C88">L74+R74</f>
        <v>9239.497</v>
      </c>
      <c r="D74" s="37">
        <v>22.7</v>
      </c>
      <c r="E74" s="37">
        <v>2824.518</v>
      </c>
      <c r="F74" s="37">
        <v>4228.7</v>
      </c>
      <c r="G74" s="37"/>
      <c r="H74" s="37"/>
      <c r="I74" s="37"/>
      <c r="J74" s="37"/>
      <c r="K74" s="38"/>
      <c r="L74" s="39">
        <f t="shared" si="2"/>
        <v>7075.918</v>
      </c>
      <c r="M74" s="40">
        <f>392.745+1132.516+0.222</f>
        <v>1525.483</v>
      </c>
      <c r="N74" s="12">
        <f>23.563+7.253+42.61+1.915</f>
        <v>75.34100000000001</v>
      </c>
      <c r="O74" s="37">
        <v>553.635</v>
      </c>
      <c r="P74" s="37">
        <v>9.12</v>
      </c>
      <c r="Q74" s="38">
        <v>0</v>
      </c>
      <c r="R74" s="39">
        <f>SUM(M74:Q74)</f>
        <v>2163.5789999999997</v>
      </c>
    </row>
    <row r="75" spans="1:18" ht="31.5">
      <c r="A75" s="73">
        <v>61</v>
      </c>
      <c r="B75" s="49" t="s">
        <v>79</v>
      </c>
      <c r="C75" s="36">
        <f t="shared" si="13"/>
        <v>65539.361</v>
      </c>
      <c r="D75" s="37">
        <v>0.9</v>
      </c>
      <c r="E75" s="37">
        <v>0</v>
      </c>
      <c r="F75" s="37">
        <v>55413.85</v>
      </c>
      <c r="G75" s="37">
        <v>0</v>
      </c>
      <c r="H75" s="37">
        <v>0</v>
      </c>
      <c r="I75" s="37">
        <v>0</v>
      </c>
      <c r="J75" s="37">
        <v>0</v>
      </c>
      <c r="K75" s="38">
        <v>0</v>
      </c>
      <c r="L75" s="39">
        <f aca="true" t="shared" si="14" ref="L75:L87">SUM(D75:K75)</f>
        <v>55414.75</v>
      </c>
      <c r="M75" s="40">
        <f>4308.388+388.874+20.553</f>
        <v>4717.815</v>
      </c>
      <c r="N75" s="12">
        <f>4956.139+86.292+231.625</f>
        <v>5274.0560000000005</v>
      </c>
      <c r="O75" s="37">
        <v>132.54</v>
      </c>
      <c r="P75" s="37">
        <v>0.2</v>
      </c>
      <c r="Q75" s="38">
        <v>0</v>
      </c>
      <c r="R75" s="39">
        <f aca="true" t="shared" si="15" ref="R75:R89">SUM(M75:Q75)</f>
        <v>10124.611</v>
      </c>
    </row>
    <row r="76" spans="1:41" ht="31.5">
      <c r="A76" s="72">
        <v>62</v>
      </c>
      <c r="B76" s="49" t="s">
        <v>80</v>
      </c>
      <c r="C76" s="36">
        <f t="shared" si="13"/>
        <v>16274.233</v>
      </c>
      <c r="D76" s="37">
        <v>0</v>
      </c>
      <c r="E76" s="37">
        <v>0</v>
      </c>
      <c r="F76" s="37">
        <v>12888.256</v>
      </c>
      <c r="G76" s="37">
        <v>0</v>
      </c>
      <c r="H76" s="37">
        <v>0</v>
      </c>
      <c r="I76" s="37">
        <v>0</v>
      </c>
      <c r="J76" s="37">
        <v>0</v>
      </c>
      <c r="K76" s="38">
        <v>0</v>
      </c>
      <c r="L76" s="39">
        <f t="shared" si="14"/>
        <v>12888.256</v>
      </c>
      <c r="M76" s="40">
        <f>792.967+1692.184</f>
        <v>2485.151</v>
      </c>
      <c r="N76" s="37">
        <v>0.598</v>
      </c>
      <c r="O76" s="37">
        <v>896.907</v>
      </c>
      <c r="P76" s="37">
        <v>3.321</v>
      </c>
      <c r="Q76" s="38">
        <v>0</v>
      </c>
      <c r="R76" s="39">
        <f t="shared" si="15"/>
        <v>3385.977</v>
      </c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spans="1:41" ht="31.5">
      <c r="A77" s="73">
        <v>63</v>
      </c>
      <c r="B77" s="49" t="s">
        <v>81</v>
      </c>
      <c r="C77" s="36">
        <f t="shared" si="13"/>
        <v>18394.555999999997</v>
      </c>
      <c r="D77" s="37">
        <v>12.8</v>
      </c>
      <c r="E77" s="37">
        <v>0</v>
      </c>
      <c r="F77" s="37">
        <v>14415.909</v>
      </c>
      <c r="G77" s="37">
        <v>0</v>
      </c>
      <c r="H77" s="37">
        <v>0</v>
      </c>
      <c r="I77" s="37">
        <v>0</v>
      </c>
      <c r="J77" s="37">
        <v>0</v>
      </c>
      <c r="K77" s="38">
        <v>0</v>
      </c>
      <c r="L77" s="39">
        <f t="shared" si="14"/>
        <v>14428.708999999999</v>
      </c>
      <c r="M77" s="40">
        <f>1239.11+1329.634</f>
        <v>2568.7439999999997</v>
      </c>
      <c r="N77" s="37">
        <v>9.4</v>
      </c>
      <c r="O77" s="37">
        <v>1383.203</v>
      </c>
      <c r="P77" s="37">
        <v>0</v>
      </c>
      <c r="Q77" s="38">
        <v>4.5</v>
      </c>
      <c r="R77" s="39">
        <f>SUM(M77:Q77)</f>
        <v>3965.8469999999998</v>
      </c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1:41" s="55" customFormat="1" ht="31.5">
      <c r="A78" s="78">
        <v>64</v>
      </c>
      <c r="B78" s="59" t="s">
        <v>82</v>
      </c>
      <c r="C78" s="60">
        <f t="shared" si="13"/>
        <v>24058.948</v>
      </c>
      <c r="D78" s="61">
        <v>25.7</v>
      </c>
      <c r="E78" s="61">
        <v>0</v>
      </c>
      <c r="F78" s="61">
        <v>20512.584</v>
      </c>
      <c r="G78" s="61">
        <v>0</v>
      </c>
      <c r="H78" s="61">
        <v>0</v>
      </c>
      <c r="I78" s="61">
        <v>0</v>
      </c>
      <c r="J78" s="61">
        <v>0</v>
      </c>
      <c r="K78" s="62">
        <v>0</v>
      </c>
      <c r="L78" s="63">
        <f t="shared" si="14"/>
        <v>20538.284</v>
      </c>
      <c r="M78" s="64">
        <f>1480.032+811.49</f>
        <v>2291.522</v>
      </c>
      <c r="N78" s="61">
        <f>56.544+15.221+0.693</f>
        <v>72.458</v>
      </c>
      <c r="O78" s="61">
        <v>1153.945</v>
      </c>
      <c r="P78" s="61">
        <v>2.739</v>
      </c>
      <c r="Q78" s="62">
        <v>0</v>
      </c>
      <c r="R78" s="63">
        <f t="shared" si="15"/>
        <v>3520.664</v>
      </c>
      <c r="S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1:41" ht="15.75">
      <c r="A79" s="73">
        <v>65</v>
      </c>
      <c r="B79" s="49" t="s">
        <v>83</v>
      </c>
      <c r="C79" s="36">
        <f t="shared" si="13"/>
        <v>15160.534</v>
      </c>
      <c r="D79" s="37">
        <v>14.3</v>
      </c>
      <c r="E79" s="37">
        <v>478.529</v>
      </c>
      <c r="F79" s="37">
        <v>13823.009</v>
      </c>
      <c r="G79" s="37">
        <v>0</v>
      </c>
      <c r="H79" s="37">
        <v>0</v>
      </c>
      <c r="I79" s="37">
        <v>0</v>
      </c>
      <c r="J79" s="37">
        <v>0</v>
      </c>
      <c r="K79" s="38">
        <v>0</v>
      </c>
      <c r="L79" s="39">
        <f t="shared" si="14"/>
        <v>14315.838</v>
      </c>
      <c r="M79" s="40">
        <f>74.028+428.136</f>
        <v>502.16400000000004</v>
      </c>
      <c r="N79" s="37">
        <f>3.293+24.161+44.831+18.381</f>
        <v>90.666</v>
      </c>
      <c r="O79" s="37">
        <v>239.266</v>
      </c>
      <c r="P79" s="37">
        <v>12.6</v>
      </c>
      <c r="Q79" s="38"/>
      <c r="R79" s="39">
        <f t="shared" si="15"/>
        <v>844.696</v>
      </c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s="54" customFormat="1" ht="31.5">
      <c r="A80" s="79">
        <v>66</v>
      </c>
      <c r="B80" s="59" t="s">
        <v>84</v>
      </c>
      <c r="C80" s="60">
        <f t="shared" si="13"/>
        <v>6132.854</v>
      </c>
      <c r="D80" s="61">
        <v>1.96</v>
      </c>
      <c r="E80" s="61">
        <v>219.52</v>
      </c>
      <c r="F80" s="61">
        <v>3975.618</v>
      </c>
      <c r="G80" s="61">
        <v>0</v>
      </c>
      <c r="H80" s="61">
        <v>0</v>
      </c>
      <c r="I80" s="61">
        <v>0</v>
      </c>
      <c r="J80" s="61">
        <v>0</v>
      </c>
      <c r="K80" s="62">
        <v>0</v>
      </c>
      <c r="L80" s="63">
        <f t="shared" si="14"/>
        <v>4197.098</v>
      </c>
      <c r="M80" s="64">
        <f>738.346+437.052</f>
        <v>1175.3980000000001</v>
      </c>
      <c r="N80" s="66">
        <f>23.383+6.698+0.409</f>
        <v>30.49</v>
      </c>
      <c r="O80" s="61">
        <v>706.568</v>
      </c>
      <c r="P80" s="61">
        <v>23.3</v>
      </c>
      <c r="Q80" s="62">
        <v>0</v>
      </c>
      <c r="R80" s="63">
        <f t="shared" si="15"/>
        <v>1935.756</v>
      </c>
      <c r="S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1:41" ht="31.5">
      <c r="A81" s="72">
        <v>67</v>
      </c>
      <c r="B81" s="49" t="s">
        <v>85</v>
      </c>
      <c r="C81" s="36">
        <f t="shared" si="13"/>
        <v>9325.592</v>
      </c>
      <c r="D81" s="37">
        <v>3.49</v>
      </c>
      <c r="E81" s="37">
        <v>0</v>
      </c>
      <c r="F81" s="37">
        <v>2850.515</v>
      </c>
      <c r="G81" s="37">
        <v>0</v>
      </c>
      <c r="H81" s="37">
        <v>0</v>
      </c>
      <c r="I81" s="37">
        <v>0</v>
      </c>
      <c r="J81" s="37">
        <v>0</v>
      </c>
      <c r="K81" s="38">
        <v>0</v>
      </c>
      <c r="L81" s="39">
        <f t="shared" si="14"/>
        <v>2854.0049999999997</v>
      </c>
      <c r="M81" s="40">
        <f>705.47+177.6</f>
        <v>883.07</v>
      </c>
      <c r="N81" s="37">
        <f>50.5+5.381+0.441+6.51</f>
        <v>62.832</v>
      </c>
      <c r="O81" s="37">
        <v>5403.216</v>
      </c>
      <c r="P81" s="37">
        <v>122.469</v>
      </c>
      <c r="Q81" s="38">
        <v>0</v>
      </c>
      <c r="R81" s="39">
        <f t="shared" si="15"/>
        <v>6471.587</v>
      </c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spans="1:24" s="55" customFormat="1" ht="31.5">
      <c r="A82" s="79">
        <v>68</v>
      </c>
      <c r="B82" s="59" t="s">
        <v>86</v>
      </c>
      <c r="C82" s="60">
        <f t="shared" si="13"/>
        <v>89699.311</v>
      </c>
      <c r="D82" s="61">
        <v>35.2</v>
      </c>
      <c r="E82" s="61">
        <v>0</v>
      </c>
      <c r="F82" s="61">
        <v>45685.707</v>
      </c>
      <c r="G82" s="61">
        <v>32810.801</v>
      </c>
      <c r="H82" s="61">
        <v>0</v>
      </c>
      <c r="I82" s="61">
        <v>0</v>
      </c>
      <c r="J82" s="61">
        <v>0</v>
      </c>
      <c r="K82" s="62">
        <v>0</v>
      </c>
      <c r="L82" s="63">
        <f t="shared" si="14"/>
        <v>78531.708</v>
      </c>
      <c r="M82" s="64">
        <f>919.858+4368.089</f>
        <v>5287.947</v>
      </c>
      <c r="N82" s="61">
        <f>5.516+169.73</f>
        <v>175.24599999999998</v>
      </c>
      <c r="O82" s="61">
        <v>5594.31</v>
      </c>
      <c r="P82" s="61">
        <v>110.1</v>
      </c>
      <c r="Q82" s="62">
        <v>0</v>
      </c>
      <c r="R82" s="63">
        <f t="shared" si="15"/>
        <v>11167.603000000001</v>
      </c>
      <c r="S82" s="65"/>
      <c r="T82" s="65"/>
      <c r="U82" s="65"/>
      <c r="V82" s="65"/>
      <c r="W82" s="65"/>
      <c r="X82" s="65"/>
    </row>
    <row r="83" spans="1:18" ht="31.5">
      <c r="A83" s="72">
        <v>69</v>
      </c>
      <c r="B83" s="49" t="s">
        <v>87</v>
      </c>
      <c r="C83" s="36">
        <f t="shared" si="13"/>
        <v>54697.398</v>
      </c>
      <c r="D83" s="37">
        <v>83.1</v>
      </c>
      <c r="E83" s="37">
        <v>0</v>
      </c>
      <c r="F83" s="37">
        <v>30339.467</v>
      </c>
      <c r="G83" s="37">
        <v>11664.296</v>
      </c>
      <c r="H83" s="37">
        <v>0</v>
      </c>
      <c r="I83" s="37">
        <v>0</v>
      </c>
      <c r="J83" s="37">
        <v>0</v>
      </c>
      <c r="K83" s="38">
        <v>0</v>
      </c>
      <c r="L83" s="39">
        <f t="shared" si="14"/>
        <v>42086.863</v>
      </c>
      <c r="M83" s="40">
        <f>4608.126+396.795</f>
        <v>5004.921</v>
      </c>
      <c r="N83" s="37">
        <f>473.477+71.768+38.166+0.408+0.054</f>
        <v>583.873</v>
      </c>
      <c r="O83" s="37">
        <v>7003.888</v>
      </c>
      <c r="P83" s="37">
        <v>17.853</v>
      </c>
      <c r="Q83" s="38">
        <v>0</v>
      </c>
      <c r="R83" s="39">
        <f t="shared" si="15"/>
        <v>12610.535</v>
      </c>
    </row>
    <row r="84" spans="1:18" ht="31.5">
      <c r="A84" s="73">
        <v>70</v>
      </c>
      <c r="B84" s="49" t="s">
        <v>88</v>
      </c>
      <c r="C84" s="36">
        <f t="shared" si="13"/>
        <v>91290.595</v>
      </c>
      <c r="D84" s="37">
        <v>11.2</v>
      </c>
      <c r="E84" s="37">
        <v>3877.764</v>
      </c>
      <c r="F84" s="37">
        <v>53225.313</v>
      </c>
      <c r="G84" s="37">
        <v>13699.037</v>
      </c>
      <c r="H84" s="37">
        <v>0</v>
      </c>
      <c r="I84" s="37">
        <v>0</v>
      </c>
      <c r="J84" s="37">
        <v>0</v>
      </c>
      <c r="K84" s="38">
        <v>0</v>
      </c>
      <c r="L84" s="39">
        <f t="shared" si="14"/>
        <v>70813.314</v>
      </c>
      <c r="M84" s="40">
        <f>5357.887+5263.408</f>
        <v>10621.295</v>
      </c>
      <c r="N84" s="37">
        <f>432.696+4</f>
        <v>436.696</v>
      </c>
      <c r="O84" s="37">
        <f>9270.646+8.476</f>
        <v>9279.122000000001</v>
      </c>
      <c r="P84" s="37">
        <f>140.168</f>
        <v>140.168</v>
      </c>
      <c r="Q84" s="38">
        <v>0</v>
      </c>
      <c r="R84" s="39">
        <f t="shared" si="15"/>
        <v>20477.281000000003</v>
      </c>
    </row>
    <row r="85" spans="1:18" ht="31.5">
      <c r="A85" s="72">
        <v>71</v>
      </c>
      <c r="B85" s="49" t="s">
        <v>89</v>
      </c>
      <c r="C85" s="36">
        <f t="shared" si="13"/>
        <v>57282.9</v>
      </c>
      <c r="D85" s="37">
        <v>0.4</v>
      </c>
      <c r="E85" s="37">
        <v>38.2</v>
      </c>
      <c r="F85" s="37">
        <v>40544.9</v>
      </c>
      <c r="G85" s="37">
        <v>7698.4</v>
      </c>
      <c r="H85" s="37">
        <v>0</v>
      </c>
      <c r="I85" s="37">
        <v>0</v>
      </c>
      <c r="J85" s="37">
        <v>0</v>
      </c>
      <c r="K85" s="38">
        <v>0</v>
      </c>
      <c r="L85" s="39">
        <f t="shared" si="14"/>
        <v>48281.9</v>
      </c>
      <c r="M85" s="40">
        <f>3840.4+1608.7</f>
        <v>5449.1</v>
      </c>
      <c r="N85" s="37">
        <f>137.7+109.9+260.4+125.2</f>
        <v>633.2</v>
      </c>
      <c r="O85" s="37">
        <f>2918.7</f>
        <v>2918.7</v>
      </c>
      <c r="P85" s="37">
        <v>0</v>
      </c>
      <c r="Q85" s="38">
        <v>0</v>
      </c>
      <c r="R85" s="39">
        <f t="shared" si="15"/>
        <v>9001</v>
      </c>
    </row>
    <row r="86" spans="1:18" ht="31.5">
      <c r="A86" s="73">
        <v>72</v>
      </c>
      <c r="B86" s="49" t="s">
        <v>90</v>
      </c>
      <c r="C86" s="36">
        <f t="shared" si="13"/>
        <v>89054.352</v>
      </c>
      <c r="D86" s="37">
        <v>0</v>
      </c>
      <c r="E86" s="37">
        <v>0</v>
      </c>
      <c r="F86" s="37">
        <v>27403.192</v>
      </c>
      <c r="G86" s="37">
        <v>42583.1</v>
      </c>
      <c r="H86" s="37">
        <v>0</v>
      </c>
      <c r="I86" s="37">
        <v>0</v>
      </c>
      <c r="J86" s="37">
        <v>0</v>
      </c>
      <c r="K86" s="38">
        <v>0</v>
      </c>
      <c r="L86" s="39">
        <f t="shared" si="14"/>
        <v>69986.292</v>
      </c>
      <c r="M86" s="40">
        <f>4404.659+1157.087</f>
        <v>5561.745999999999</v>
      </c>
      <c r="N86" s="37">
        <f>10.006+57.135+56.817</f>
        <v>123.958</v>
      </c>
      <c r="O86" s="37">
        <f>39.315+13279.766</f>
        <v>13319.081</v>
      </c>
      <c r="P86" s="37">
        <v>63.275</v>
      </c>
      <c r="Q86" s="38">
        <v>0</v>
      </c>
      <c r="R86" s="39">
        <f t="shared" si="15"/>
        <v>19068.06</v>
      </c>
    </row>
    <row r="87" spans="1:18" ht="32.25" thickBot="1">
      <c r="A87" s="80">
        <v>73</v>
      </c>
      <c r="B87" s="42" t="s">
        <v>91</v>
      </c>
      <c r="C87" s="43">
        <f t="shared" si="13"/>
        <v>15809.493999999999</v>
      </c>
      <c r="D87" s="37">
        <v>75.2</v>
      </c>
      <c r="E87" s="37">
        <v>4185.973</v>
      </c>
      <c r="F87" s="37">
        <v>3602.344</v>
      </c>
      <c r="G87" s="37">
        <v>0</v>
      </c>
      <c r="H87" s="37">
        <v>0</v>
      </c>
      <c r="I87" s="37">
        <v>0</v>
      </c>
      <c r="J87" s="37">
        <v>0</v>
      </c>
      <c r="K87" s="38">
        <v>0</v>
      </c>
      <c r="L87" s="51">
        <f t="shared" si="14"/>
        <v>7863.517</v>
      </c>
      <c r="M87" s="40">
        <f>2204.074+1179.93</f>
        <v>3384.004</v>
      </c>
      <c r="N87" s="37">
        <f>398.933+22.346+34.018+22.406+95.881</f>
        <v>573.5840000000001</v>
      </c>
      <c r="O87" s="37">
        <f>3980.989+0.1</f>
        <v>3981.089</v>
      </c>
      <c r="P87" s="37">
        <v>7.3</v>
      </c>
      <c r="Q87" s="38">
        <v>0</v>
      </c>
      <c r="R87" s="39">
        <f t="shared" si="15"/>
        <v>7945.977</v>
      </c>
    </row>
    <row r="88" spans="1:19" s="29" customFormat="1" ht="16.5" thickBot="1">
      <c r="A88" s="83" t="s">
        <v>126</v>
      </c>
      <c r="B88" s="85"/>
      <c r="C88" s="44">
        <f t="shared" si="13"/>
        <v>872147.5429999998</v>
      </c>
      <c r="D88" s="44">
        <f aca="true" t="shared" si="16" ref="D88:K88">D87+D86+D85+D84+D83+D82+D81+D80+D79+D78+D77+D76+D75+D74+D73+D72+D71</f>
        <v>372.22</v>
      </c>
      <c r="E88" s="44">
        <f t="shared" si="16"/>
        <v>19904.522</v>
      </c>
      <c r="F88" s="44">
        <f t="shared" si="16"/>
        <v>584510.315</v>
      </c>
      <c r="G88" s="44">
        <f t="shared" si="16"/>
        <v>108455.63399999999</v>
      </c>
      <c r="H88" s="44">
        <f t="shared" si="16"/>
        <v>145.69099999999997</v>
      </c>
      <c r="I88" s="44">
        <f t="shared" si="16"/>
        <v>150</v>
      </c>
      <c r="J88" s="44">
        <f t="shared" si="16"/>
        <v>0</v>
      </c>
      <c r="K88" s="44">
        <f t="shared" si="16"/>
        <v>0</v>
      </c>
      <c r="L88" s="44">
        <f>L87+L86+L85+L84+L83+L82+L81+L80+L79+L78+L77+L76+L75+L74+L73+L72+L71</f>
        <v>713538.3819999999</v>
      </c>
      <c r="M88" s="44">
        <f aca="true" t="shared" si="17" ref="M88:R88">M87+M86+M85+M84+M83+M82+M81+M80+M79+M78+M77+M76+M75+M74+M73+M72+M71</f>
        <v>78856.44699999999</v>
      </c>
      <c r="N88" s="44">
        <f>N87+N86+N85+N84+N83+N82+N81+N80+N79+N78+N77+N76+N75+N74+N73+N72+N71</f>
        <v>9191.791000000001</v>
      </c>
      <c r="O88" s="44">
        <f t="shared" si="17"/>
        <v>69982.205</v>
      </c>
      <c r="P88" s="44">
        <f t="shared" si="17"/>
        <v>570.368</v>
      </c>
      <c r="Q88" s="44">
        <f t="shared" si="17"/>
        <v>8.35</v>
      </c>
      <c r="R88" s="44">
        <f t="shared" si="17"/>
        <v>158609.161</v>
      </c>
      <c r="S88" s="31"/>
    </row>
    <row r="89" spans="1:18" s="29" customFormat="1" ht="16.5" thickBot="1">
      <c r="A89" s="83" t="s">
        <v>92</v>
      </c>
      <c r="B89" s="85"/>
      <c r="C89" s="44">
        <f>L89+R89</f>
        <v>4615245.703</v>
      </c>
      <c r="D89" s="44">
        <f aca="true" t="shared" si="18" ref="D89:K89">D88+D70</f>
        <v>3174.9539999999997</v>
      </c>
      <c r="E89" s="44">
        <f t="shared" si="18"/>
        <v>754250.1220000001</v>
      </c>
      <c r="F89" s="44">
        <f t="shared" si="18"/>
        <v>2744951.6449999996</v>
      </c>
      <c r="G89" s="44">
        <f t="shared" si="18"/>
        <v>202790.734</v>
      </c>
      <c r="H89" s="44">
        <f t="shared" si="18"/>
        <v>16160.391000000001</v>
      </c>
      <c r="I89" s="44">
        <f t="shared" si="18"/>
        <v>2802.2999999999997</v>
      </c>
      <c r="J89" s="44">
        <f t="shared" si="18"/>
        <v>74.5</v>
      </c>
      <c r="K89" s="44">
        <f t="shared" si="18"/>
        <v>9698.8</v>
      </c>
      <c r="L89" s="44">
        <f aca="true" t="shared" si="19" ref="L89:Q89">L88+L70</f>
        <v>3733903.446</v>
      </c>
      <c r="M89" s="44">
        <f t="shared" si="19"/>
        <v>153629.21</v>
      </c>
      <c r="N89" s="44">
        <f t="shared" si="19"/>
        <v>497091.57800000015</v>
      </c>
      <c r="O89" s="44">
        <f t="shared" si="19"/>
        <v>171544.636</v>
      </c>
      <c r="P89" s="44">
        <f t="shared" si="19"/>
        <v>14685.283000000001</v>
      </c>
      <c r="Q89" s="44">
        <f t="shared" si="19"/>
        <v>44391.55</v>
      </c>
      <c r="R89" s="56">
        <f t="shared" si="15"/>
        <v>881342.2570000002</v>
      </c>
    </row>
    <row r="90" ht="15.75">
      <c r="B90" s="57"/>
    </row>
    <row r="94" spans="2:8" ht="46.5" customHeight="1">
      <c r="B94" s="88" t="s">
        <v>123</v>
      </c>
      <c r="C94" s="88"/>
      <c r="D94" s="81"/>
      <c r="E94" s="81"/>
      <c r="F94" s="82" t="s">
        <v>127</v>
      </c>
      <c r="G94" s="82"/>
      <c r="H94" s="82"/>
    </row>
    <row r="108" spans="12:18" s="58" customFormat="1" ht="15.75">
      <c r="L108" s="31"/>
      <c r="R108" s="31"/>
    </row>
    <row r="109" spans="12:18" s="58" customFormat="1" ht="15.75">
      <c r="L109" s="31"/>
      <c r="R109" s="31"/>
    </row>
    <row r="110" spans="12:18" s="58" customFormat="1" ht="15.75">
      <c r="L110" s="31"/>
      <c r="R110" s="31"/>
    </row>
    <row r="111" spans="12:18" s="58" customFormat="1" ht="15.75">
      <c r="L111" s="31"/>
      <c r="R111" s="31"/>
    </row>
    <row r="112" spans="12:18" s="58" customFormat="1" ht="15.75">
      <c r="L112" s="31"/>
      <c r="R112" s="31"/>
    </row>
    <row r="113" spans="12:18" s="58" customFormat="1" ht="15.75">
      <c r="L113" s="31"/>
      <c r="R113" s="31"/>
    </row>
    <row r="114" spans="2:18" s="58" customFormat="1" ht="15.75">
      <c r="B114" s="58" t="s">
        <v>148</v>
      </c>
      <c r="L114" s="31"/>
      <c r="R114" s="31"/>
    </row>
    <row r="115" spans="12:18" s="58" customFormat="1" ht="15.75">
      <c r="L115" s="31"/>
      <c r="R115" s="31"/>
    </row>
    <row r="116" spans="12:18" s="58" customFormat="1" ht="15.75">
      <c r="L116" s="31"/>
      <c r="R116" s="31"/>
    </row>
    <row r="117" spans="12:18" s="58" customFormat="1" ht="15.75">
      <c r="L117" s="31"/>
      <c r="R117" s="31"/>
    </row>
    <row r="118" spans="12:18" s="58" customFormat="1" ht="15.75">
      <c r="L118" s="31"/>
      <c r="R118" s="31"/>
    </row>
    <row r="119" spans="12:18" s="58" customFormat="1" ht="15.75">
      <c r="L119" s="31"/>
      <c r="R119" s="31"/>
    </row>
    <row r="120" spans="12:18" s="58" customFormat="1" ht="15.75">
      <c r="L120" s="31"/>
      <c r="R120" s="31"/>
    </row>
    <row r="121" spans="12:18" s="58" customFormat="1" ht="15.75">
      <c r="L121" s="31"/>
      <c r="R121" s="31"/>
    </row>
    <row r="122" spans="12:18" s="58" customFormat="1" ht="15.75">
      <c r="L122" s="31"/>
      <c r="R122" s="31"/>
    </row>
    <row r="123" spans="12:18" s="58" customFormat="1" ht="15.75">
      <c r="L123" s="31"/>
      <c r="R123" s="31"/>
    </row>
    <row r="124" spans="12:18" s="58" customFormat="1" ht="15.75">
      <c r="L124" s="31"/>
      <c r="R124" s="31"/>
    </row>
    <row r="125" spans="12:18" s="58" customFormat="1" ht="15.75">
      <c r="L125" s="31"/>
      <c r="R125" s="31"/>
    </row>
    <row r="126" spans="12:18" s="58" customFormat="1" ht="15.75">
      <c r="L126" s="31"/>
      <c r="R126" s="31"/>
    </row>
    <row r="127" spans="12:18" s="58" customFormat="1" ht="15.75">
      <c r="L127" s="31"/>
      <c r="R127" s="31"/>
    </row>
    <row r="128" spans="12:18" s="58" customFormat="1" ht="15.75">
      <c r="L128" s="31"/>
      <c r="R128" s="31"/>
    </row>
    <row r="129" spans="12:18" s="58" customFormat="1" ht="15.75">
      <c r="L129" s="31"/>
      <c r="R129" s="31"/>
    </row>
    <row r="130" spans="12:18" s="58" customFormat="1" ht="15.75">
      <c r="L130" s="31"/>
      <c r="R130" s="31"/>
    </row>
    <row r="131" spans="12:18" s="58" customFormat="1" ht="15.75">
      <c r="L131" s="31"/>
      <c r="R131" s="31"/>
    </row>
    <row r="132" spans="12:18" s="58" customFormat="1" ht="15.75">
      <c r="L132" s="31"/>
      <c r="R132" s="31"/>
    </row>
    <row r="133" spans="12:18" s="58" customFormat="1" ht="15.75">
      <c r="L133" s="31"/>
      <c r="R133" s="31"/>
    </row>
    <row r="134" spans="12:18" s="58" customFormat="1" ht="15.75">
      <c r="L134" s="31"/>
      <c r="R134" s="31"/>
    </row>
    <row r="135" spans="12:18" s="58" customFormat="1" ht="15.75">
      <c r="L135" s="31"/>
      <c r="R135" s="31"/>
    </row>
    <row r="136" spans="12:18" s="58" customFormat="1" ht="15.75">
      <c r="L136" s="31"/>
      <c r="R136" s="31"/>
    </row>
    <row r="137" spans="12:18" s="58" customFormat="1" ht="15.75">
      <c r="L137" s="31"/>
      <c r="R137" s="31"/>
    </row>
    <row r="138" spans="12:18" s="58" customFormat="1" ht="15.75">
      <c r="L138" s="31"/>
      <c r="R138" s="31"/>
    </row>
    <row r="139" spans="12:18" s="58" customFormat="1" ht="15.75">
      <c r="L139" s="31"/>
      <c r="R139" s="31"/>
    </row>
    <row r="140" spans="12:18" s="58" customFormat="1" ht="15.75">
      <c r="L140" s="31"/>
      <c r="R140" s="31"/>
    </row>
    <row r="141" spans="12:18" s="58" customFormat="1" ht="15.75">
      <c r="L141" s="31"/>
      <c r="R141" s="31"/>
    </row>
    <row r="142" spans="12:18" s="58" customFormat="1" ht="15.75">
      <c r="L142" s="31"/>
      <c r="R142" s="31"/>
    </row>
    <row r="143" spans="12:18" s="58" customFormat="1" ht="15.75">
      <c r="L143" s="31"/>
      <c r="R143" s="31"/>
    </row>
    <row r="144" spans="12:18" s="58" customFormat="1" ht="15.75">
      <c r="L144" s="31"/>
      <c r="R144" s="31"/>
    </row>
    <row r="145" spans="12:18" s="58" customFormat="1" ht="15.75">
      <c r="L145" s="31"/>
      <c r="R145" s="31"/>
    </row>
    <row r="146" spans="12:18" s="58" customFormat="1" ht="15.75">
      <c r="L146" s="31"/>
      <c r="R146" s="31"/>
    </row>
    <row r="147" spans="12:18" s="58" customFormat="1" ht="15.75">
      <c r="L147" s="31"/>
      <c r="R147" s="31"/>
    </row>
    <row r="148" spans="12:18" s="58" customFormat="1" ht="15.75">
      <c r="L148" s="31"/>
      <c r="R148" s="31"/>
    </row>
    <row r="149" spans="12:18" s="58" customFormat="1" ht="15.75">
      <c r="L149" s="31"/>
      <c r="R149" s="31"/>
    </row>
    <row r="150" spans="12:18" s="58" customFormat="1" ht="15.75">
      <c r="L150" s="31"/>
      <c r="R150" s="31"/>
    </row>
    <row r="151" spans="12:18" s="58" customFormat="1" ht="15.75">
      <c r="L151" s="31"/>
      <c r="R151" s="31"/>
    </row>
    <row r="152" spans="12:18" s="58" customFormat="1" ht="15.75">
      <c r="L152" s="31"/>
      <c r="R152" s="31"/>
    </row>
    <row r="153" spans="12:18" s="58" customFormat="1" ht="15.75">
      <c r="L153" s="31"/>
      <c r="R153" s="31"/>
    </row>
    <row r="154" spans="12:18" s="58" customFormat="1" ht="15.75">
      <c r="L154" s="31"/>
      <c r="R154" s="31"/>
    </row>
    <row r="155" spans="12:18" s="58" customFormat="1" ht="15.75">
      <c r="L155" s="31"/>
      <c r="R155" s="31"/>
    </row>
    <row r="156" spans="12:18" s="58" customFormat="1" ht="15.75">
      <c r="L156" s="31"/>
      <c r="R156" s="31"/>
    </row>
    <row r="157" spans="12:18" s="58" customFormat="1" ht="15.75">
      <c r="L157" s="31"/>
      <c r="R157" s="31"/>
    </row>
    <row r="158" spans="12:18" s="58" customFormat="1" ht="15.75">
      <c r="L158" s="31"/>
      <c r="R158" s="31"/>
    </row>
    <row r="159" spans="12:18" s="58" customFormat="1" ht="15.75">
      <c r="L159" s="31"/>
      <c r="R159" s="31"/>
    </row>
    <row r="160" spans="12:18" s="58" customFormat="1" ht="15.75">
      <c r="L160" s="31"/>
      <c r="R160" s="31"/>
    </row>
    <row r="161" spans="12:18" s="58" customFormat="1" ht="15.75">
      <c r="L161" s="31"/>
      <c r="R161" s="31"/>
    </row>
    <row r="162" spans="12:18" s="58" customFormat="1" ht="15.75">
      <c r="L162" s="31"/>
      <c r="R162" s="31"/>
    </row>
    <row r="163" spans="12:18" s="58" customFormat="1" ht="15.75">
      <c r="L163" s="31"/>
      <c r="R163" s="31"/>
    </row>
    <row r="164" spans="12:18" s="58" customFormat="1" ht="15.75">
      <c r="L164" s="31"/>
      <c r="R164" s="31"/>
    </row>
    <row r="165" spans="12:18" s="58" customFormat="1" ht="15.75">
      <c r="L165" s="31"/>
      <c r="R165" s="31"/>
    </row>
    <row r="166" spans="12:18" s="58" customFormat="1" ht="15.75">
      <c r="L166" s="31"/>
      <c r="R166" s="31"/>
    </row>
    <row r="167" spans="12:18" s="58" customFormat="1" ht="15.75">
      <c r="L167" s="31"/>
      <c r="R167" s="31"/>
    </row>
    <row r="168" spans="12:18" s="58" customFormat="1" ht="15.75">
      <c r="L168" s="31"/>
      <c r="R168" s="31"/>
    </row>
    <row r="169" spans="12:18" s="58" customFormat="1" ht="15.75">
      <c r="L169" s="31"/>
      <c r="R169" s="31"/>
    </row>
    <row r="170" spans="12:18" s="58" customFormat="1" ht="15.75">
      <c r="L170" s="31"/>
      <c r="R170" s="31"/>
    </row>
    <row r="171" spans="12:18" s="58" customFormat="1" ht="15.75">
      <c r="L171" s="31"/>
      <c r="R171" s="31"/>
    </row>
    <row r="172" spans="12:18" s="58" customFormat="1" ht="15.75">
      <c r="L172" s="31"/>
      <c r="R172" s="31"/>
    </row>
    <row r="173" spans="12:18" s="58" customFormat="1" ht="15.75">
      <c r="L173" s="31"/>
      <c r="R173" s="31"/>
    </row>
    <row r="174" spans="12:18" s="58" customFormat="1" ht="15.75">
      <c r="L174" s="31"/>
      <c r="R174" s="31"/>
    </row>
    <row r="175" spans="12:18" s="58" customFormat="1" ht="15.75">
      <c r="L175" s="31"/>
      <c r="R175" s="31"/>
    </row>
    <row r="176" spans="12:18" s="58" customFormat="1" ht="15.75">
      <c r="L176" s="31"/>
      <c r="R176" s="31"/>
    </row>
    <row r="177" spans="12:18" s="58" customFormat="1" ht="15.75">
      <c r="L177" s="31"/>
      <c r="R177" s="31"/>
    </row>
    <row r="178" spans="12:18" s="58" customFormat="1" ht="15.75">
      <c r="L178" s="31"/>
      <c r="R178" s="31"/>
    </row>
    <row r="179" spans="12:18" s="58" customFormat="1" ht="15.75">
      <c r="L179" s="31"/>
      <c r="R179" s="31"/>
    </row>
    <row r="180" spans="12:18" s="58" customFormat="1" ht="15.75">
      <c r="L180" s="31"/>
      <c r="R180" s="31"/>
    </row>
    <row r="181" spans="12:18" s="58" customFormat="1" ht="15.75">
      <c r="L181" s="31"/>
      <c r="R181" s="31"/>
    </row>
    <row r="182" spans="12:18" s="58" customFormat="1" ht="15.75">
      <c r="L182" s="31"/>
      <c r="R182" s="31"/>
    </row>
    <row r="183" spans="12:18" s="58" customFormat="1" ht="15.75">
      <c r="L183" s="31"/>
      <c r="R183" s="31"/>
    </row>
    <row r="184" spans="12:18" s="58" customFormat="1" ht="15.75">
      <c r="L184" s="31"/>
      <c r="R184" s="31"/>
    </row>
    <row r="185" spans="12:18" s="58" customFormat="1" ht="15.75">
      <c r="L185" s="31"/>
      <c r="R185" s="31"/>
    </row>
    <row r="186" spans="12:18" s="58" customFormat="1" ht="15.75">
      <c r="L186" s="31"/>
      <c r="R186" s="31"/>
    </row>
    <row r="187" spans="12:18" s="58" customFormat="1" ht="15.75">
      <c r="L187" s="31"/>
      <c r="R187" s="31"/>
    </row>
    <row r="188" spans="12:18" s="58" customFormat="1" ht="15.75">
      <c r="L188" s="31"/>
      <c r="R188" s="31"/>
    </row>
    <row r="189" spans="12:18" s="58" customFormat="1" ht="15.75">
      <c r="L189" s="31"/>
      <c r="R189" s="31"/>
    </row>
    <row r="190" spans="12:18" s="58" customFormat="1" ht="15.75">
      <c r="L190" s="31"/>
      <c r="R190" s="31"/>
    </row>
    <row r="191" spans="12:18" s="58" customFormat="1" ht="15.75">
      <c r="L191" s="31"/>
      <c r="R191" s="31"/>
    </row>
    <row r="192" spans="12:18" s="58" customFormat="1" ht="15.75">
      <c r="L192" s="31"/>
      <c r="R192" s="31"/>
    </row>
    <row r="193" spans="12:18" s="58" customFormat="1" ht="15.75">
      <c r="L193" s="31"/>
      <c r="R193" s="31"/>
    </row>
    <row r="194" spans="12:18" s="58" customFormat="1" ht="15.75">
      <c r="L194" s="31"/>
      <c r="R194" s="31"/>
    </row>
    <row r="195" spans="12:18" s="58" customFormat="1" ht="15.75">
      <c r="L195" s="31"/>
      <c r="R195" s="31"/>
    </row>
    <row r="204" ht="15.75">
      <c r="B204" s="58"/>
    </row>
  </sheetData>
  <sheetProtection/>
  <mergeCells count="16">
    <mergeCell ref="A11:B11"/>
    <mergeCell ref="A5:R5"/>
    <mergeCell ref="A1:N1"/>
    <mergeCell ref="A2:N2"/>
    <mergeCell ref="B7:B8"/>
    <mergeCell ref="A7:A8"/>
    <mergeCell ref="C7:R7"/>
    <mergeCell ref="F94:H94"/>
    <mergeCell ref="A28:B28"/>
    <mergeCell ref="A34:B34"/>
    <mergeCell ref="A89:B89"/>
    <mergeCell ref="A40:B40"/>
    <mergeCell ref="A70:B70"/>
    <mergeCell ref="A69:B69"/>
    <mergeCell ref="A88:B88"/>
    <mergeCell ref="B94:C94"/>
  </mergeCells>
  <printOptions/>
  <pageMargins left="0.11811023622047245" right="0.11811023622047245" top="0.9448818897637796" bottom="0" header="0.31496062992125984" footer="0.31496062992125984"/>
  <pageSetup fitToHeight="0" fitToWidth="1" horizontalDpi="600" verticalDpi="600" orientation="landscape" paperSize="9" scale="53" r:id="rId1"/>
  <rowBreaks count="2" manualBreakCount="2">
    <brk id="40" max="17" man="1"/>
    <brk id="7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00390625" style="11" customWidth="1"/>
    <col min="2" max="2" width="31.8515625" style="11" customWidth="1"/>
    <col min="3" max="3" width="14.421875" style="11" customWidth="1"/>
    <col min="4" max="4" width="11.57421875" style="11" customWidth="1"/>
    <col min="5" max="5" width="14.8515625" style="11" customWidth="1"/>
    <col min="6" max="6" width="11.00390625" style="11" customWidth="1"/>
    <col min="7" max="7" width="12.00390625" style="11" customWidth="1"/>
    <col min="8" max="8" width="10.8515625" style="11" customWidth="1"/>
    <col min="9" max="9" width="9.140625" style="11" customWidth="1"/>
    <col min="10" max="10" width="10.7109375" style="11" bestFit="1" customWidth="1"/>
    <col min="11" max="16384" width="9.140625" style="11" customWidth="1"/>
  </cols>
  <sheetData>
    <row r="2" spans="2:7" ht="15.75">
      <c r="B2" s="101" t="s">
        <v>116</v>
      </c>
      <c r="C2" s="101"/>
      <c r="D2" s="101"/>
      <c r="E2" s="101"/>
      <c r="F2" s="101"/>
      <c r="G2" s="101"/>
    </row>
    <row r="4" spans="1:9" ht="15.75">
      <c r="A4" s="102" t="s">
        <v>94</v>
      </c>
      <c r="B4" s="104" t="s">
        <v>95</v>
      </c>
      <c r="C4" s="106" t="s">
        <v>122</v>
      </c>
      <c r="D4" s="107"/>
      <c r="E4" s="106" t="s">
        <v>138</v>
      </c>
      <c r="F4" s="107"/>
      <c r="G4" s="108" t="s">
        <v>146</v>
      </c>
      <c r="H4" s="108"/>
      <c r="I4" s="109" t="s">
        <v>147</v>
      </c>
    </row>
    <row r="5" spans="1:9" ht="30.75" customHeight="1">
      <c r="A5" s="103"/>
      <c r="B5" s="105"/>
      <c r="C5" s="15" t="s">
        <v>96</v>
      </c>
      <c r="D5" s="15" t="s">
        <v>97</v>
      </c>
      <c r="E5" s="15" t="s">
        <v>96</v>
      </c>
      <c r="F5" s="15" t="s">
        <v>97</v>
      </c>
      <c r="G5" s="15" t="s">
        <v>96</v>
      </c>
      <c r="H5" s="14" t="s">
        <v>98</v>
      </c>
      <c r="I5" s="109"/>
    </row>
    <row r="6" spans="1:9" ht="15.75">
      <c r="A6" s="114">
        <v>1</v>
      </c>
      <c r="B6" s="115"/>
      <c r="C6" s="18">
        <v>2</v>
      </c>
      <c r="D6" s="16">
        <v>3</v>
      </c>
      <c r="E6" s="17">
        <v>4</v>
      </c>
      <c r="F6" s="18">
        <v>5</v>
      </c>
      <c r="G6" s="18" t="s">
        <v>112</v>
      </c>
      <c r="H6" s="18" t="s">
        <v>113</v>
      </c>
      <c r="I6" s="11">
        <v>8</v>
      </c>
    </row>
    <row r="7" spans="1:10" ht="19.5" customHeight="1">
      <c r="A7" s="112" t="s">
        <v>111</v>
      </c>
      <c r="B7" s="113"/>
      <c r="C7" s="19">
        <f>SUM(C8:C20)+0.9</f>
        <v>4475024.142999999</v>
      </c>
      <c r="D7" s="15">
        <v>100</v>
      </c>
      <c r="E7" s="19">
        <f>SUM(E8:E20)</f>
        <v>4615245.702999999</v>
      </c>
      <c r="F7" s="15">
        <v>100</v>
      </c>
      <c r="G7" s="19">
        <f>E7-C7</f>
        <v>140221.5599999996</v>
      </c>
      <c r="H7" s="19">
        <v>0</v>
      </c>
      <c r="I7" s="11">
        <f>G7/C7*100</f>
        <v>3.1334257764695956</v>
      </c>
      <c r="J7" s="11">
        <f>E7/C7*100</f>
        <v>103.13342577646961</v>
      </c>
    </row>
    <row r="8" spans="1:10" ht="15.75">
      <c r="A8" s="20">
        <v>1</v>
      </c>
      <c r="B8" s="21" t="s">
        <v>99</v>
      </c>
      <c r="C8" s="22">
        <f>'[1]Лист2'!D92</f>
        <v>2853.121</v>
      </c>
      <c r="D8" s="22">
        <f>C8/C7*D7</f>
        <v>0.06375654988281927</v>
      </c>
      <c r="E8" s="22">
        <f>Лист2!D89</f>
        <v>3174.9539999999997</v>
      </c>
      <c r="F8" s="22">
        <f>E8/E7*100</f>
        <v>0.06879274050211928</v>
      </c>
      <c r="G8" s="22">
        <f>E8-C8</f>
        <v>321.83299999999963</v>
      </c>
      <c r="H8" s="22">
        <f>F8-D8</f>
        <v>0.00503619061930001</v>
      </c>
      <c r="I8" s="11">
        <f aca="true" t="shared" si="0" ref="I8:I20">G8/C8*100</f>
        <v>11.280033338929531</v>
      </c>
      <c r="J8" s="11">
        <f aca="true" t="shared" si="1" ref="J8:J20">E8/C8*100</f>
        <v>111.28003333892953</v>
      </c>
    </row>
    <row r="9" spans="1:10" ht="31.5">
      <c r="A9" s="20">
        <v>2</v>
      </c>
      <c r="B9" s="21" t="s">
        <v>100</v>
      </c>
      <c r="C9" s="22">
        <f>'[1]Лист2'!E92</f>
        <v>860328.869</v>
      </c>
      <c r="D9" s="22">
        <f aca="true" t="shared" si="2" ref="D9:D20">C9/C8*D8</f>
        <v>19.225122401758632</v>
      </c>
      <c r="E9" s="22">
        <f>Лист2!E89</f>
        <v>754250.1220000001</v>
      </c>
      <c r="F9" s="22">
        <f>E9/E7*100</f>
        <v>16.342577850399664</v>
      </c>
      <c r="G9" s="22">
        <f>E9-C9</f>
        <v>-106078.74699999986</v>
      </c>
      <c r="H9" s="22">
        <f aca="true" t="shared" si="3" ref="H9:H20">F9-D9</f>
        <v>-2.8825445513589685</v>
      </c>
      <c r="I9" s="11">
        <f t="shared" si="0"/>
        <v>-12.330022950793234</v>
      </c>
      <c r="J9" s="11">
        <f t="shared" si="1"/>
        <v>87.66997704920676</v>
      </c>
    </row>
    <row r="10" spans="1:10" ht="15.75">
      <c r="A10" s="20">
        <v>3</v>
      </c>
      <c r="B10" s="21" t="s">
        <v>101</v>
      </c>
      <c r="C10" s="22">
        <f>'[1]Лист2'!F92</f>
        <v>2638604.5160000003</v>
      </c>
      <c r="D10" s="22">
        <f>C10/C9*D9</f>
        <v>58.96291129797378</v>
      </c>
      <c r="E10" s="22">
        <f>Лист2!F89</f>
        <v>2744951.6449999996</v>
      </c>
      <c r="F10" s="22">
        <f>E10/E7*100</f>
        <v>59.47574239039382</v>
      </c>
      <c r="G10" s="22">
        <f aca="true" t="shared" si="4" ref="G10:G20">E10-C10</f>
        <v>106347.12899999926</v>
      </c>
      <c r="H10" s="22">
        <f t="shared" si="3"/>
        <v>0.5128310924200363</v>
      </c>
      <c r="I10" s="11">
        <f t="shared" si="0"/>
        <v>4.030430796094311</v>
      </c>
      <c r="J10" s="11">
        <f t="shared" si="1"/>
        <v>104.03043079609431</v>
      </c>
    </row>
    <row r="11" spans="1:10" ht="15.75">
      <c r="A11" s="20">
        <v>4</v>
      </c>
      <c r="B11" s="21" t="s">
        <v>102</v>
      </c>
      <c r="C11" s="22">
        <f>'[1]Лист2'!G92</f>
        <v>158909.8</v>
      </c>
      <c r="D11" s="22">
        <f t="shared" si="2"/>
        <v>3.5510378250935855</v>
      </c>
      <c r="E11" s="22">
        <f>Лист2!G89</f>
        <v>202790.734</v>
      </c>
      <c r="F11" s="22">
        <f>E11/E7*F7</f>
        <v>4.393931483825056</v>
      </c>
      <c r="G11" s="22">
        <f t="shared" si="4"/>
        <v>43880.93400000001</v>
      </c>
      <c r="H11" s="22">
        <f t="shared" si="3"/>
        <v>0.8428936587314704</v>
      </c>
      <c r="I11" s="11">
        <f t="shared" si="0"/>
        <v>27.613736849458004</v>
      </c>
      <c r="J11" s="11">
        <f t="shared" si="1"/>
        <v>127.61373684945801</v>
      </c>
    </row>
    <row r="12" spans="1:10" ht="15.75">
      <c r="A12" s="20">
        <v>5</v>
      </c>
      <c r="B12" s="21" t="s">
        <v>104</v>
      </c>
      <c r="C12" s="22">
        <f>'[1]Лист2'!H92</f>
        <v>17158.309</v>
      </c>
      <c r="D12" s="22">
        <f t="shared" si="2"/>
        <v>0.38342383083764314</v>
      </c>
      <c r="E12" s="22">
        <f>Лист2!H89</f>
        <v>16160.391000000001</v>
      </c>
      <c r="F12" s="22">
        <f aca="true" t="shared" si="5" ref="F12:F20">E12/E8*F8</f>
        <v>0.3501523437743615</v>
      </c>
      <c r="G12" s="22">
        <f t="shared" si="4"/>
        <v>-997.9179999999997</v>
      </c>
      <c r="H12" s="22">
        <f t="shared" si="3"/>
        <v>-0.033271487063281646</v>
      </c>
      <c r="I12" s="11">
        <f t="shared" si="0"/>
        <v>-5.815946081866223</v>
      </c>
      <c r="J12" s="11">
        <f t="shared" si="1"/>
        <v>94.18405391813378</v>
      </c>
    </row>
    <row r="13" spans="1:10" ht="15.75">
      <c r="A13" s="20">
        <v>6</v>
      </c>
      <c r="B13" s="21" t="s">
        <v>105</v>
      </c>
      <c r="C13" s="22">
        <f>'[1]Лист2'!I92</f>
        <v>3160.776</v>
      </c>
      <c r="D13" s="22">
        <f>C13/C12*D12</f>
        <v>0.07063148485900808</v>
      </c>
      <c r="E13" s="22">
        <f>Лист2!I89</f>
        <v>2802.2999999999997</v>
      </c>
      <c r="F13" s="22">
        <f t="shared" si="5"/>
        <v>0.06071832748099306</v>
      </c>
      <c r="G13" s="22">
        <f t="shared" si="4"/>
        <v>-358.4760000000001</v>
      </c>
      <c r="H13" s="22">
        <f t="shared" si="3"/>
        <v>-0.009913157378015021</v>
      </c>
      <c r="I13" s="11">
        <f t="shared" si="0"/>
        <v>-11.341392113835342</v>
      </c>
      <c r="J13" s="11">
        <f t="shared" si="1"/>
        <v>88.65860788616466</v>
      </c>
    </row>
    <row r="14" spans="1:10" ht="15.75">
      <c r="A14" s="20">
        <v>7</v>
      </c>
      <c r="B14" s="21" t="s">
        <v>106</v>
      </c>
      <c r="C14" s="22">
        <f>'[1]Лист2'!J92</f>
        <v>74.5</v>
      </c>
      <c r="D14" s="22">
        <f t="shared" si="2"/>
        <v>0.0016647954875625803</v>
      </c>
      <c r="E14" s="22">
        <f>Лист2!J89</f>
        <v>74.5</v>
      </c>
      <c r="F14" s="22">
        <f t="shared" si="5"/>
        <v>0.0016142152508061176</v>
      </c>
      <c r="G14" s="22">
        <f t="shared" si="4"/>
        <v>0</v>
      </c>
      <c r="H14" s="22">
        <f t="shared" si="3"/>
        <v>-5.058023675646268E-05</v>
      </c>
      <c r="I14" s="11">
        <f t="shared" si="0"/>
        <v>0</v>
      </c>
      <c r="J14" s="11">
        <f t="shared" si="1"/>
        <v>100</v>
      </c>
    </row>
    <row r="15" spans="1:10" ht="18" customHeight="1">
      <c r="A15" s="20">
        <v>8</v>
      </c>
      <c r="B15" s="21" t="s">
        <v>117</v>
      </c>
      <c r="C15" s="22">
        <f>'[1]Лист2'!K92</f>
        <v>10373.76</v>
      </c>
      <c r="D15" s="22">
        <f t="shared" si="2"/>
        <v>0.23181461526251265</v>
      </c>
      <c r="E15" s="22">
        <f>Лист2!K89</f>
        <v>9698.8</v>
      </c>
      <c r="F15" s="22">
        <f t="shared" si="5"/>
        <v>0.21014699160427344</v>
      </c>
      <c r="G15" s="22">
        <f t="shared" si="4"/>
        <v>-674.960000000001</v>
      </c>
      <c r="H15" s="22">
        <f t="shared" si="3"/>
        <v>-0.02166762365823921</v>
      </c>
      <c r="I15" s="11">
        <f t="shared" si="0"/>
        <v>-6.506416188537241</v>
      </c>
      <c r="J15" s="11">
        <f t="shared" si="1"/>
        <v>93.49358381146276</v>
      </c>
    </row>
    <row r="16" spans="1:10" ht="15.75">
      <c r="A16" s="20">
        <v>9</v>
      </c>
      <c r="B16" s="21" t="s">
        <v>107</v>
      </c>
      <c r="C16" s="22">
        <f>'[1]Лист2'!M92</f>
        <v>125860.14799999999</v>
      </c>
      <c r="D16" s="22">
        <f t="shared" si="2"/>
        <v>2.812502100058503</v>
      </c>
      <c r="E16" s="22">
        <f>Лист2!M89</f>
        <v>153629.21</v>
      </c>
      <c r="F16" s="22">
        <f t="shared" si="5"/>
        <v>3.3287330704871914</v>
      </c>
      <c r="G16" s="22">
        <f t="shared" si="4"/>
        <v>27769.062000000005</v>
      </c>
      <c r="H16" s="22">
        <f t="shared" si="3"/>
        <v>0.5162309704286883</v>
      </c>
      <c r="I16" s="11">
        <f t="shared" si="0"/>
        <v>22.06342709846488</v>
      </c>
      <c r="J16" s="11">
        <f t="shared" si="1"/>
        <v>122.0634270984649</v>
      </c>
    </row>
    <row r="17" spans="1:10" ht="15.75">
      <c r="A17" s="20">
        <v>10</v>
      </c>
      <c r="B17" s="21" t="s">
        <v>108</v>
      </c>
      <c r="C17" s="22">
        <f>'[1]Лист2'!N92</f>
        <v>431044.339</v>
      </c>
      <c r="D17" s="22">
        <f t="shared" si="2"/>
        <v>9.632223765189195</v>
      </c>
      <c r="E17" s="22">
        <f>Лист2!N89</f>
        <v>497091.57800000015</v>
      </c>
      <c r="F17" s="22">
        <f t="shared" si="5"/>
        <v>10.770641694696364</v>
      </c>
      <c r="G17" s="22">
        <f t="shared" si="4"/>
        <v>66047.23900000018</v>
      </c>
      <c r="H17" s="22">
        <f t="shared" si="3"/>
        <v>1.1384179295071686</v>
      </c>
      <c r="I17" s="11">
        <f t="shared" si="0"/>
        <v>15.322609073866106</v>
      </c>
      <c r="J17" s="11">
        <f t="shared" si="1"/>
        <v>115.32260907386612</v>
      </c>
    </row>
    <row r="18" spans="1:10" ht="15.75">
      <c r="A18" s="20">
        <v>11</v>
      </c>
      <c r="B18" s="21" t="s">
        <v>109</v>
      </c>
      <c r="C18" s="22">
        <f>'[1]Лист2'!O92</f>
        <v>154255.044</v>
      </c>
      <c r="D18" s="22">
        <f t="shared" si="2"/>
        <v>3.4470214924156677</v>
      </c>
      <c r="E18" s="22">
        <f>Лист2!O89</f>
        <v>171544.636</v>
      </c>
      <c r="F18" s="22">
        <f t="shared" si="5"/>
        <v>3.7169123171165657</v>
      </c>
      <c r="G18" s="22">
        <f t="shared" si="4"/>
        <v>17289.592000000004</v>
      </c>
      <c r="H18" s="22">
        <f t="shared" si="3"/>
        <v>0.269890824700898</v>
      </c>
      <c r="I18" s="11">
        <f t="shared" si="0"/>
        <v>11.208445151394859</v>
      </c>
      <c r="J18" s="11">
        <f t="shared" si="1"/>
        <v>111.20844515139486</v>
      </c>
    </row>
    <row r="19" spans="1:10" ht="15.75">
      <c r="A19" s="20">
        <v>12</v>
      </c>
      <c r="B19" s="21" t="s">
        <v>110</v>
      </c>
      <c r="C19" s="22">
        <f>'[1]Лист2'!P92</f>
        <v>13238.546000000002</v>
      </c>
      <c r="D19" s="22">
        <f t="shared" si="2"/>
        <v>0.2958318341300624</v>
      </c>
      <c r="E19" s="22">
        <f>Лист2!P89</f>
        <v>14685.283000000001</v>
      </c>
      <c r="F19" s="22">
        <f t="shared" si="5"/>
        <v>0.31819070846984987</v>
      </c>
      <c r="G19" s="24">
        <f t="shared" si="4"/>
        <v>1446.7369999999992</v>
      </c>
      <c r="H19" s="22">
        <f t="shared" si="3"/>
        <v>0.02235887433978745</v>
      </c>
      <c r="I19" s="11">
        <f t="shared" si="0"/>
        <v>10.928216739209871</v>
      </c>
      <c r="J19" s="11">
        <f t="shared" si="1"/>
        <v>110.92821673920987</v>
      </c>
    </row>
    <row r="20" spans="1:10" ht="15.75">
      <c r="A20" s="20">
        <v>13</v>
      </c>
      <c r="B20" s="21" t="s">
        <v>106</v>
      </c>
      <c r="C20" s="22">
        <f>'[1]Лист2'!Q92</f>
        <v>59161.515</v>
      </c>
      <c r="D20" s="22">
        <f t="shared" si="2"/>
        <v>1.3220378954277303</v>
      </c>
      <c r="E20" s="22">
        <f>Лист2!Q89</f>
        <v>44391.55</v>
      </c>
      <c r="F20" s="22">
        <f t="shared" si="5"/>
        <v>0.9618458659989575</v>
      </c>
      <c r="G20" s="22">
        <f t="shared" si="4"/>
        <v>-14769.964999999997</v>
      </c>
      <c r="H20" s="22">
        <f t="shared" si="3"/>
        <v>-0.3601920294287728</v>
      </c>
      <c r="I20" s="11">
        <f t="shared" si="0"/>
        <v>-24.965494882948818</v>
      </c>
      <c r="J20" s="11">
        <f t="shared" si="1"/>
        <v>75.03450511705118</v>
      </c>
    </row>
    <row r="22" spans="2:3" ht="15.75">
      <c r="B22" s="25"/>
      <c r="C22" s="26"/>
    </row>
    <row r="23" spans="2:6" ht="15.75">
      <c r="B23" s="27"/>
      <c r="C23" s="26"/>
      <c r="E23" s="23"/>
      <c r="F23" s="23"/>
    </row>
    <row r="24" spans="2:8" s="28" customFormat="1" ht="27" customHeight="1">
      <c r="B24" s="110" t="s">
        <v>118</v>
      </c>
      <c r="C24" s="110"/>
      <c r="D24" s="110"/>
      <c r="E24" s="110"/>
      <c r="F24" s="111" t="s">
        <v>127</v>
      </c>
      <c r="G24" s="111"/>
      <c r="H24" s="111"/>
    </row>
  </sheetData>
  <sheetProtection/>
  <mergeCells count="11">
    <mergeCell ref="I4:I5"/>
    <mergeCell ref="B24:E24"/>
    <mergeCell ref="F24:H24"/>
    <mergeCell ref="A7:B7"/>
    <mergeCell ref="A6:B6"/>
    <mergeCell ref="B2:G2"/>
    <mergeCell ref="A4:A5"/>
    <mergeCell ref="B4:B5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29">
      <selection activeCell="D29" sqref="D29"/>
    </sheetView>
  </sheetViews>
  <sheetFormatPr defaultColWidth="9.140625" defaultRowHeight="12.75"/>
  <cols>
    <col min="1" max="1" width="5.00390625" style="1" customWidth="1"/>
    <col min="2" max="2" width="31.8515625" style="1" customWidth="1"/>
    <col min="3" max="3" width="14.8515625" style="1" customWidth="1"/>
    <col min="4" max="4" width="11.00390625" style="1" customWidth="1"/>
    <col min="5" max="16384" width="9.140625" style="1" customWidth="1"/>
  </cols>
  <sheetData>
    <row r="2" spans="2:4" ht="15.75">
      <c r="B2" s="120" t="s">
        <v>93</v>
      </c>
      <c r="C2" s="120"/>
      <c r="D2" s="120"/>
    </row>
    <row r="4" spans="1:4" ht="15.75">
      <c r="A4" s="121" t="s">
        <v>94</v>
      </c>
      <c r="B4" s="123" t="s">
        <v>95</v>
      </c>
      <c r="C4" s="125" t="s">
        <v>138</v>
      </c>
      <c r="D4" s="126"/>
    </row>
    <row r="5" spans="1:4" ht="15.75">
      <c r="A5" s="122"/>
      <c r="B5" s="124"/>
      <c r="C5" s="5" t="s">
        <v>96</v>
      </c>
      <c r="D5" s="5" t="s">
        <v>97</v>
      </c>
    </row>
    <row r="6" spans="1:4" ht="15.75">
      <c r="A6" s="116">
        <v>1</v>
      </c>
      <c r="B6" s="117"/>
      <c r="C6" s="7">
        <v>4</v>
      </c>
      <c r="D6" s="8">
        <v>5</v>
      </c>
    </row>
    <row r="7" spans="1:5" ht="19.5" customHeight="1">
      <c r="A7" s="118" t="s">
        <v>111</v>
      </c>
      <c r="B7" s="119"/>
      <c r="C7" s="3">
        <f>SUM(C8:C20)</f>
        <v>4615245.702999999</v>
      </c>
      <c r="D7" s="5">
        <v>100</v>
      </c>
      <c r="E7" s="9"/>
    </row>
    <row r="8" spans="1:4" ht="15.75">
      <c r="A8" s="4">
        <v>1</v>
      </c>
      <c r="B8" s="6" t="s">
        <v>99</v>
      </c>
      <c r="C8" s="22">
        <f>'tabel mic act'!E8</f>
        <v>3174.9539999999997</v>
      </c>
      <c r="D8" s="2">
        <f>C8/C7*100</f>
        <v>0.06879274050211928</v>
      </c>
    </row>
    <row r="9" spans="1:4" ht="31.5">
      <c r="A9" s="4">
        <v>2</v>
      </c>
      <c r="B9" s="6" t="s">
        <v>100</v>
      </c>
      <c r="C9" s="22">
        <f>'tabel mic act'!E9</f>
        <v>754250.1220000001</v>
      </c>
      <c r="D9" s="2">
        <f>C9/C7*100</f>
        <v>16.342577850399664</v>
      </c>
    </row>
    <row r="10" spans="1:4" ht="15.75">
      <c r="A10" s="4">
        <v>3</v>
      </c>
      <c r="B10" s="6" t="s">
        <v>101</v>
      </c>
      <c r="C10" s="22">
        <f>'tabel mic act'!E10</f>
        <v>2744951.6449999996</v>
      </c>
      <c r="D10" s="2">
        <f>C10/C7*100</f>
        <v>59.47574239039382</v>
      </c>
    </row>
    <row r="11" spans="1:4" ht="15.75">
      <c r="A11" s="4">
        <v>4</v>
      </c>
      <c r="B11" s="6" t="s">
        <v>102</v>
      </c>
      <c r="C11" s="22">
        <f>'tabel mic act'!E11</f>
        <v>202790.734</v>
      </c>
      <c r="D11" s="2">
        <f>C11/C7*D7</f>
        <v>4.393931483825056</v>
      </c>
    </row>
    <row r="12" spans="1:4" ht="15.75">
      <c r="A12" s="4">
        <v>5</v>
      </c>
      <c r="B12" s="6" t="s">
        <v>103</v>
      </c>
      <c r="C12" s="22">
        <f>'tabel mic act'!E15</f>
        <v>9698.8</v>
      </c>
      <c r="D12" s="2">
        <f aca="true" t="shared" si="0" ref="D12:D20">C12/C8*D8</f>
        <v>0.2101469916042735</v>
      </c>
    </row>
    <row r="13" spans="1:4" ht="15.75">
      <c r="A13" s="4">
        <v>6</v>
      </c>
      <c r="B13" s="6" t="s">
        <v>104</v>
      </c>
      <c r="C13" s="22">
        <f>'tabel mic act'!E12</f>
        <v>16160.391000000001</v>
      </c>
      <c r="D13" s="2">
        <f t="shared" si="0"/>
        <v>0.35015234377436144</v>
      </c>
    </row>
    <row r="14" spans="1:4" ht="15.75">
      <c r="A14" s="4">
        <v>7</v>
      </c>
      <c r="B14" s="6" t="s">
        <v>105</v>
      </c>
      <c r="C14" s="22">
        <f>'tabel mic act'!E13</f>
        <v>2802.2999999999997</v>
      </c>
      <c r="D14" s="2">
        <f t="shared" si="0"/>
        <v>0.06071832748099306</v>
      </c>
    </row>
    <row r="15" spans="1:4" ht="18" customHeight="1">
      <c r="A15" s="4">
        <v>8</v>
      </c>
      <c r="B15" s="6" t="s">
        <v>114</v>
      </c>
      <c r="C15" s="22">
        <f>'tabel mic act'!E14</f>
        <v>74.5</v>
      </c>
      <c r="D15" s="2">
        <f t="shared" si="0"/>
        <v>0.0016142152508061174</v>
      </c>
    </row>
    <row r="16" spans="1:4" ht="15.75">
      <c r="A16" s="4">
        <v>9</v>
      </c>
      <c r="B16" s="6" t="s">
        <v>107</v>
      </c>
      <c r="C16" s="22">
        <f>'tabel mic act'!E16</f>
        <v>153629.21</v>
      </c>
      <c r="D16" s="2">
        <f t="shared" si="0"/>
        <v>3.3287330704871914</v>
      </c>
    </row>
    <row r="17" spans="1:4" ht="15.75">
      <c r="A17" s="4">
        <v>10</v>
      </c>
      <c r="B17" s="6" t="s">
        <v>145</v>
      </c>
      <c r="C17" s="22">
        <f>'tabel mic act'!E17</f>
        <v>497091.57800000015</v>
      </c>
      <c r="D17" s="2">
        <f t="shared" si="0"/>
        <v>10.770641694696362</v>
      </c>
    </row>
    <row r="18" spans="1:4" ht="15.75">
      <c r="A18" s="4">
        <v>11</v>
      </c>
      <c r="B18" s="6" t="s">
        <v>109</v>
      </c>
      <c r="C18" s="22">
        <f>'tabel mic act'!E18</f>
        <v>171544.636</v>
      </c>
      <c r="D18" s="2">
        <f t="shared" si="0"/>
        <v>3.7169123171165657</v>
      </c>
    </row>
    <row r="19" spans="1:4" ht="15.75">
      <c r="A19" s="4">
        <v>12</v>
      </c>
      <c r="B19" s="6" t="s">
        <v>106</v>
      </c>
      <c r="C19" s="22">
        <f>'tabel mic act'!E20</f>
        <v>44391.55</v>
      </c>
      <c r="D19" s="2">
        <f t="shared" si="0"/>
        <v>0.9618458659989572</v>
      </c>
    </row>
    <row r="20" spans="1:4" ht="15.75">
      <c r="A20" s="4">
        <v>13</v>
      </c>
      <c r="B20" s="6" t="s">
        <v>110</v>
      </c>
      <c r="C20" s="22">
        <f>'tabel mic act'!E19</f>
        <v>14685.283000000001</v>
      </c>
      <c r="D20" s="2">
        <f t="shared" si="0"/>
        <v>0.31819070846985</v>
      </c>
    </row>
    <row r="23" spans="2:7" ht="15.75">
      <c r="B23" s="120" t="s">
        <v>93</v>
      </c>
      <c r="C23" s="120"/>
      <c r="D23" s="120"/>
      <c r="G23" s="9"/>
    </row>
    <row r="25" spans="1:4" ht="15.75">
      <c r="A25" s="121" t="s">
        <v>94</v>
      </c>
      <c r="B25" s="123" t="s">
        <v>95</v>
      </c>
      <c r="C25" s="127" t="s">
        <v>138</v>
      </c>
      <c r="D25" s="127"/>
    </row>
    <row r="26" spans="1:4" ht="15.75">
      <c r="A26" s="122"/>
      <c r="B26" s="124"/>
      <c r="C26" s="5" t="s">
        <v>96</v>
      </c>
      <c r="D26" s="5" t="s">
        <v>97</v>
      </c>
    </row>
    <row r="27" spans="1:4" ht="15.75">
      <c r="A27" s="116">
        <v>1</v>
      </c>
      <c r="B27" s="117"/>
      <c r="C27" s="10">
        <v>4</v>
      </c>
      <c r="D27" s="8">
        <v>5</v>
      </c>
    </row>
    <row r="28" spans="1:4" ht="15.75">
      <c r="A28" s="118" t="s">
        <v>111</v>
      </c>
      <c r="B28" s="119"/>
      <c r="C28" s="3">
        <f>SUM(C29:C38)</f>
        <v>4615245.702999999</v>
      </c>
      <c r="D28" s="5">
        <v>100</v>
      </c>
    </row>
    <row r="29" spans="1:4" ht="15.75">
      <c r="A29" s="4">
        <v>1</v>
      </c>
      <c r="B29" s="6" t="s">
        <v>101</v>
      </c>
      <c r="C29" s="2">
        <f>C10</f>
        <v>2744951.6449999996</v>
      </c>
      <c r="D29" s="2">
        <f>C29/C28*D28</f>
        <v>59.47574239039382</v>
      </c>
    </row>
    <row r="30" spans="1:4" ht="15.75">
      <c r="A30" s="4">
        <v>9</v>
      </c>
      <c r="B30" s="6" t="s">
        <v>99</v>
      </c>
      <c r="C30" s="2">
        <f>C8</f>
        <v>3174.9539999999997</v>
      </c>
      <c r="D30" s="2">
        <f>C30/C28*100</f>
        <v>0.06879274050211928</v>
      </c>
    </row>
    <row r="31" spans="1:4" ht="31.5">
      <c r="A31" s="4">
        <v>2</v>
      </c>
      <c r="B31" s="6" t="s">
        <v>100</v>
      </c>
      <c r="C31" s="2">
        <f>C9</f>
        <v>754250.1220000001</v>
      </c>
      <c r="D31" s="2">
        <f>C31/C28*D28</f>
        <v>16.342577850399664</v>
      </c>
    </row>
    <row r="32" spans="1:4" ht="15.75">
      <c r="A32" s="4">
        <v>7</v>
      </c>
      <c r="B32" s="6" t="s">
        <v>110</v>
      </c>
      <c r="C32" s="2">
        <f>C20</f>
        <v>14685.283000000001</v>
      </c>
      <c r="D32" s="2">
        <f>C32/C28*D28</f>
        <v>0.31819070846984987</v>
      </c>
    </row>
    <row r="33" spans="1:4" ht="15.75">
      <c r="A33" s="4">
        <v>3</v>
      </c>
      <c r="B33" s="6" t="s">
        <v>102</v>
      </c>
      <c r="C33" s="2">
        <f>C11</f>
        <v>202790.734</v>
      </c>
      <c r="D33" s="2">
        <f>C33/C28*D28</f>
        <v>4.393931483825056</v>
      </c>
    </row>
    <row r="34" spans="1:4" ht="15.75">
      <c r="A34" s="4">
        <v>4</v>
      </c>
      <c r="B34" s="6" t="s">
        <v>108</v>
      </c>
      <c r="C34" s="2">
        <f>C17+C14</f>
        <v>499893.87800000014</v>
      </c>
      <c r="D34" s="2">
        <f>C34/C29*D29</f>
        <v>10.831360022177357</v>
      </c>
    </row>
    <row r="35" spans="1:4" ht="15.75">
      <c r="A35" s="4">
        <v>5</v>
      </c>
      <c r="B35" s="6" t="s">
        <v>109</v>
      </c>
      <c r="C35" s="2">
        <f>C18</f>
        <v>171544.636</v>
      </c>
      <c r="D35" s="2">
        <f>C35/C33*D33</f>
        <v>3.7169123171165657</v>
      </c>
    </row>
    <row r="36" spans="1:4" ht="15.75">
      <c r="A36" s="4">
        <v>6</v>
      </c>
      <c r="B36" s="6" t="s">
        <v>107</v>
      </c>
      <c r="C36" s="2">
        <f>C16</f>
        <v>153629.21</v>
      </c>
      <c r="D36" s="2">
        <f>C36/C31*D31</f>
        <v>3.328733070487191</v>
      </c>
    </row>
    <row r="37" spans="1:4" ht="15.75">
      <c r="A37" s="4">
        <v>8</v>
      </c>
      <c r="B37" s="6" t="s">
        <v>104</v>
      </c>
      <c r="C37" s="2">
        <f>C13+C15+C12</f>
        <v>25933.691</v>
      </c>
      <c r="D37" s="2">
        <f>C37/C30*D30</f>
        <v>0.561913550629441</v>
      </c>
    </row>
    <row r="38" spans="1:4" ht="15.75">
      <c r="A38" s="4"/>
      <c r="B38" s="6" t="s">
        <v>106</v>
      </c>
      <c r="C38" s="22">
        <f>C19</f>
        <v>44391.55</v>
      </c>
      <c r="D38" s="2">
        <f>C38/C31*D31</f>
        <v>0.9618458659989573</v>
      </c>
    </row>
  </sheetData>
  <sheetProtection/>
  <mergeCells count="12">
    <mergeCell ref="A28:B28"/>
    <mergeCell ref="B23:D23"/>
    <mergeCell ref="A25:A26"/>
    <mergeCell ref="B25:B26"/>
    <mergeCell ref="C25:D25"/>
    <mergeCell ref="A27:B27"/>
    <mergeCell ref="A6:B6"/>
    <mergeCell ref="A7:B7"/>
    <mergeCell ref="B2:D2"/>
    <mergeCell ref="A4:A5"/>
    <mergeCell ref="B4:B5"/>
    <mergeCell ref="C4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sberzoi</cp:lastModifiedBy>
  <cp:lastPrinted>2019-07-15T10:46:49Z</cp:lastPrinted>
  <dcterms:created xsi:type="dcterms:W3CDTF">1996-10-08T23:32:33Z</dcterms:created>
  <dcterms:modified xsi:type="dcterms:W3CDTF">2019-07-18T11:10:51Z</dcterms:modified>
  <cp:category/>
  <cp:version/>
  <cp:contentType/>
  <cp:contentStatus/>
</cp:coreProperties>
</file>