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525" windowWidth="15120" windowHeight="7590" activeTab="2"/>
  </bookViews>
  <sheets>
    <sheet name="tab scurt (2)" sheetId="4" r:id="rId1"/>
    <sheet name="Лист1" sheetId="1" r:id="rId2"/>
    <sheet name="tab scurt" sheetId="2" r:id="rId3"/>
    <sheet name="Лист3" sheetId="3" r:id="rId4"/>
  </sheets>
  <definedNames>
    <definedName name="_xlnm.Print_Area" localSheetId="2">'tab scurt'!$A$1:$O$120</definedName>
    <definedName name="_xlnm.Print_Area" localSheetId="0">'tab scurt (2)'!$A$1:$D$41</definedName>
  </definedNames>
  <calcPr calcId="125725"/>
</workbook>
</file>

<file path=xl/calcChain.xml><?xml version="1.0" encoding="utf-8"?>
<calcChain xmlns="http://schemas.openxmlformats.org/spreadsheetml/2006/main">
  <c r="K69" i="2"/>
  <c r="H69"/>
  <c r="G69"/>
  <c r="C69"/>
  <c r="O65"/>
  <c r="O51"/>
  <c r="D10"/>
  <c r="O25"/>
  <c r="N25"/>
  <c r="M25"/>
  <c r="G25"/>
  <c r="J25" s="1"/>
  <c r="C25"/>
  <c r="E25" s="1"/>
  <c r="I25" l="1"/>
  <c r="F25"/>
  <c r="K86"/>
  <c r="K85"/>
  <c r="K84"/>
  <c r="K83"/>
  <c r="K81"/>
  <c r="K79"/>
  <c r="K78"/>
  <c r="K77"/>
  <c r="K76"/>
  <c r="K75"/>
  <c r="K74"/>
  <c r="K73"/>
  <c r="K72"/>
  <c r="K71"/>
  <c r="K70"/>
  <c r="K87" s="1"/>
  <c r="K67"/>
  <c r="K62"/>
  <c r="K61"/>
  <c r="K60"/>
  <c r="K59"/>
  <c r="K58"/>
  <c r="K57"/>
  <c r="K56"/>
  <c r="K55"/>
  <c r="K54"/>
  <c r="K53"/>
  <c r="K50"/>
  <c r="K49"/>
  <c r="K48"/>
  <c r="K47"/>
  <c r="K46"/>
  <c r="K45"/>
  <c r="K44"/>
  <c r="K43"/>
  <c r="K42"/>
  <c r="K41"/>
  <c r="K40"/>
  <c r="K68" s="1"/>
  <c r="K38"/>
  <c r="K37"/>
  <c r="K35"/>
  <c r="K34"/>
  <c r="K39" s="1"/>
  <c r="K28"/>
  <c r="K33" s="1"/>
  <c r="K24"/>
  <c r="K21"/>
  <c r="K20"/>
  <c r="K19"/>
  <c r="K18"/>
  <c r="K17"/>
  <c r="K16"/>
  <c r="K15"/>
  <c r="K14"/>
  <c r="K13"/>
  <c r="K12"/>
  <c r="K10"/>
  <c r="G85"/>
  <c r="G84"/>
  <c r="G83"/>
  <c r="G79"/>
  <c r="G77"/>
  <c r="G76"/>
  <c r="G75"/>
  <c r="G74"/>
  <c r="G73"/>
  <c r="G72"/>
  <c r="G71"/>
  <c r="G70"/>
  <c r="G67"/>
  <c r="G66"/>
  <c r="G65"/>
  <c r="G62"/>
  <c r="G61"/>
  <c r="G59"/>
  <c r="G58"/>
  <c r="G57"/>
  <c r="G56"/>
  <c r="G55"/>
  <c r="G54"/>
  <c r="G53"/>
  <c r="G51"/>
  <c r="G50"/>
  <c r="G49"/>
  <c r="G46"/>
  <c r="G45"/>
  <c r="G44"/>
  <c r="G43"/>
  <c r="G42"/>
  <c r="G41"/>
  <c r="G40"/>
  <c r="G38"/>
  <c r="G37"/>
  <c r="G36"/>
  <c r="G35"/>
  <c r="G34"/>
  <c r="G39" s="1"/>
  <c r="G28"/>
  <c r="G33" s="1"/>
  <c r="G24"/>
  <c r="G22"/>
  <c r="G21"/>
  <c r="G20"/>
  <c r="G19"/>
  <c r="G17"/>
  <c r="G16"/>
  <c r="G15"/>
  <c r="G14"/>
  <c r="G13"/>
  <c r="G12"/>
  <c r="G10"/>
  <c r="C86"/>
  <c r="C85"/>
  <c r="C84"/>
  <c r="C83"/>
  <c r="C81"/>
  <c r="C79"/>
  <c r="C77"/>
  <c r="C76"/>
  <c r="C75"/>
  <c r="C74"/>
  <c r="C73"/>
  <c r="C72"/>
  <c r="C71"/>
  <c r="C70"/>
  <c r="C67"/>
  <c r="C66"/>
  <c r="C62"/>
  <c r="C61"/>
  <c r="C59"/>
  <c r="C58"/>
  <c r="C57"/>
  <c r="C56"/>
  <c r="C55"/>
  <c r="C54"/>
  <c r="C53"/>
  <c r="C49"/>
  <c r="C48"/>
  <c r="C47"/>
  <c r="F47" s="1"/>
  <c r="C46"/>
  <c r="C45"/>
  <c r="C44"/>
  <c r="C43"/>
  <c r="C42"/>
  <c r="C41"/>
  <c r="C40"/>
  <c r="C38"/>
  <c r="C37"/>
  <c r="C36"/>
  <c r="C35"/>
  <c r="C34"/>
  <c r="C28"/>
  <c r="C33" s="1"/>
  <c r="C24"/>
  <c r="C22"/>
  <c r="C21"/>
  <c r="C20"/>
  <c r="C19"/>
  <c r="C17"/>
  <c r="C16"/>
  <c r="C15"/>
  <c r="C14"/>
  <c r="C13"/>
  <c r="C12"/>
  <c r="C10"/>
  <c r="H10"/>
  <c r="C27" l="1"/>
  <c r="C39"/>
  <c r="C68"/>
  <c r="C88" s="1"/>
  <c r="C87"/>
  <c r="G68"/>
  <c r="G87"/>
  <c r="G27"/>
  <c r="K27"/>
  <c r="K88"/>
  <c r="L87"/>
  <c r="H87"/>
  <c r="D87"/>
  <c r="L68" l="1"/>
  <c r="D68"/>
  <c r="D69" s="1"/>
  <c r="L33"/>
  <c r="H33"/>
  <c r="D33"/>
  <c r="H39"/>
  <c r="L39"/>
  <c r="D39"/>
  <c r="H68" l="1"/>
  <c r="F15"/>
  <c r="H27"/>
  <c r="D27"/>
  <c r="L10"/>
  <c r="D88" l="1"/>
  <c r="L27"/>
  <c r="H88"/>
  <c r="M33"/>
  <c r="H25" i="4"/>
  <c r="G35"/>
  <c r="G34"/>
  <c r="G33"/>
  <c r="G27"/>
  <c r="F36"/>
  <c r="H36"/>
  <c r="D36"/>
  <c r="C36"/>
  <c r="F25"/>
  <c r="F37" s="1"/>
  <c r="G9"/>
  <c r="G11"/>
  <c r="G12"/>
  <c r="G15"/>
  <c r="G16"/>
  <c r="G18"/>
  <c r="G20"/>
  <c r="G21"/>
  <c r="G23"/>
  <c r="G24"/>
  <c r="C25"/>
  <c r="E25" s="1"/>
  <c r="E9"/>
  <c r="E10"/>
  <c r="E11"/>
  <c r="E12"/>
  <c r="E13"/>
  <c r="E14"/>
  <c r="E15"/>
  <c r="E17"/>
  <c r="E19"/>
  <c r="E21"/>
  <c r="E22"/>
  <c r="E23"/>
  <c r="E26"/>
  <c r="E28"/>
  <c r="E29"/>
  <c r="E30"/>
  <c r="E31"/>
  <c r="E32"/>
  <c r="E33"/>
  <c r="E34"/>
  <c r="E8"/>
  <c r="D10"/>
  <c r="L88" i="2" l="1"/>
  <c r="L69"/>
  <c r="E27"/>
  <c r="E36" i="4"/>
  <c r="H37"/>
  <c r="E68" i="2"/>
  <c r="G88"/>
  <c r="E37" i="4"/>
  <c r="C37"/>
  <c r="G36"/>
  <c r="D32"/>
  <c r="D30"/>
  <c r="D29"/>
  <c r="D28"/>
  <c r="D26"/>
  <c r="D22"/>
  <c r="D17"/>
  <c r="D14"/>
  <c r="G14" s="1"/>
  <c r="D13"/>
  <c r="D8"/>
  <c r="O31" i="2"/>
  <c r="N31"/>
  <c r="M31"/>
  <c r="J31"/>
  <c r="I31"/>
  <c r="E31"/>
  <c r="F31"/>
  <c r="G8" i="4" l="1"/>
  <c r="D25"/>
  <c r="N86" i="2"/>
  <c r="J86"/>
  <c r="F86"/>
  <c r="D37" i="4" l="1"/>
  <c r="G25"/>
  <c r="G37" s="1"/>
  <c r="F59" i="2" l="1"/>
  <c r="O13" l="1"/>
  <c r="O86"/>
  <c r="O85"/>
  <c r="O84"/>
  <c r="O83"/>
  <c r="O82"/>
  <c r="O81"/>
  <c r="O80"/>
  <c r="O79"/>
  <c r="O78"/>
  <c r="O77"/>
  <c r="O76"/>
  <c r="O75"/>
  <c r="O74"/>
  <c r="O73"/>
  <c r="O72"/>
  <c r="O71"/>
  <c r="O70"/>
  <c r="O67"/>
  <c r="O66"/>
  <c r="O64"/>
  <c r="O63"/>
  <c r="O62"/>
  <c r="O61"/>
  <c r="O60"/>
  <c r="O59"/>
  <c r="O58"/>
  <c r="O57"/>
  <c r="O56"/>
  <c r="O55"/>
  <c r="O54"/>
  <c r="O53"/>
  <c r="O52"/>
  <c r="O50"/>
  <c r="O49"/>
  <c r="O48"/>
  <c r="O47"/>
  <c r="O46"/>
  <c r="O45"/>
  <c r="O44"/>
  <c r="O43"/>
  <c r="O42"/>
  <c r="O41"/>
  <c r="O40"/>
  <c r="O38"/>
  <c r="O37"/>
  <c r="O36"/>
  <c r="O35"/>
  <c r="O34"/>
  <c r="O29"/>
  <c r="O28"/>
  <c r="O26"/>
  <c r="O24"/>
  <c r="O23"/>
  <c r="O22"/>
  <c r="O21"/>
  <c r="O20"/>
  <c r="O19"/>
  <c r="O18"/>
  <c r="O17"/>
  <c r="O16"/>
  <c r="O15"/>
  <c r="O14"/>
  <c r="O12"/>
  <c r="O11"/>
  <c r="O9"/>
  <c r="O8"/>
  <c r="AE88" i="1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38"/>
  <c r="AE37"/>
  <c r="AE36"/>
  <c r="AE35"/>
  <c r="AE34"/>
  <c r="AE31"/>
  <c r="AE30"/>
  <c r="AE29"/>
  <c r="AE27"/>
  <c r="AE26"/>
  <c r="AE25"/>
  <c r="AE24"/>
  <c r="AE23"/>
  <c r="AE22"/>
  <c r="AE21"/>
  <c r="AE20"/>
  <c r="AE19"/>
  <c r="AE18"/>
  <c r="AE17"/>
  <c r="AE16"/>
  <c r="AE15"/>
  <c r="AE14"/>
  <c r="AE13"/>
  <c r="AE12"/>
  <c r="AE10"/>
  <c r="AE9"/>
  <c r="M86" i="2"/>
  <c r="I86"/>
  <c r="E86"/>
  <c r="N85"/>
  <c r="M85"/>
  <c r="J85"/>
  <c r="I85"/>
  <c r="F85"/>
  <c r="E85"/>
  <c r="N84"/>
  <c r="M84"/>
  <c r="J84"/>
  <c r="I84"/>
  <c r="F84"/>
  <c r="E84"/>
  <c r="N83"/>
  <c r="M83"/>
  <c r="J83"/>
  <c r="I83"/>
  <c r="F83"/>
  <c r="E83"/>
  <c r="N82"/>
  <c r="M82"/>
  <c r="J82"/>
  <c r="I82"/>
  <c r="F82"/>
  <c r="E82"/>
  <c r="N81"/>
  <c r="M81"/>
  <c r="J81"/>
  <c r="I81"/>
  <c r="F81"/>
  <c r="E81"/>
  <c r="N80"/>
  <c r="M80"/>
  <c r="J80"/>
  <c r="I80"/>
  <c r="F80"/>
  <c r="E80"/>
  <c r="N79"/>
  <c r="M79"/>
  <c r="J79"/>
  <c r="I79"/>
  <c r="F79"/>
  <c r="E79"/>
  <c r="N78"/>
  <c r="M78"/>
  <c r="J78"/>
  <c r="I78"/>
  <c r="F78"/>
  <c r="E78"/>
  <c r="N77"/>
  <c r="M77"/>
  <c r="J77"/>
  <c r="I77"/>
  <c r="F77"/>
  <c r="E77"/>
  <c r="N76"/>
  <c r="M76"/>
  <c r="J76"/>
  <c r="I76"/>
  <c r="F76"/>
  <c r="E76"/>
  <c r="N75"/>
  <c r="M75"/>
  <c r="J75"/>
  <c r="I75"/>
  <c r="F75"/>
  <c r="E75"/>
  <c r="N74"/>
  <c r="M74"/>
  <c r="J74"/>
  <c r="I74"/>
  <c r="F74"/>
  <c r="E74"/>
  <c r="N73"/>
  <c r="M73"/>
  <c r="J73"/>
  <c r="I73"/>
  <c r="F73"/>
  <c r="E73"/>
  <c r="N72"/>
  <c r="M72"/>
  <c r="J72"/>
  <c r="I72"/>
  <c r="F72"/>
  <c r="E72"/>
  <c r="N71"/>
  <c r="M71"/>
  <c r="J71"/>
  <c r="I71"/>
  <c r="F71"/>
  <c r="E71"/>
  <c r="N70"/>
  <c r="M70"/>
  <c r="J70"/>
  <c r="I70"/>
  <c r="F70"/>
  <c r="E70"/>
  <c r="N67"/>
  <c r="M67"/>
  <c r="J67"/>
  <c r="E67"/>
  <c r="N66"/>
  <c r="M66"/>
  <c r="J66"/>
  <c r="I66"/>
  <c r="F66"/>
  <c r="E66"/>
  <c r="N65"/>
  <c r="M65"/>
  <c r="J65"/>
  <c r="I65"/>
  <c r="F65"/>
  <c r="E65"/>
  <c r="N64"/>
  <c r="M64"/>
  <c r="J64"/>
  <c r="I64"/>
  <c r="F64"/>
  <c r="E64"/>
  <c r="N63"/>
  <c r="M63"/>
  <c r="J63"/>
  <c r="I63"/>
  <c r="F63"/>
  <c r="E63"/>
  <c r="N62"/>
  <c r="M62"/>
  <c r="J62"/>
  <c r="I62"/>
  <c r="F62"/>
  <c r="E62"/>
  <c r="N61"/>
  <c r="M61"/>
  <c r="J61"/>
  <c r="I61"/>
  <c r="F61"/>
  <c r="E61"/>
  <c r="N60"/>
  <c r="M60"/>
  <c r="J60"/>
  <c r="I60"/>
  <c r="F60"/>
  <c r="E60"/>
  <c r="N59"/>
  <c r="M59"/>
  <c r="J59"/>
  <c r="I59"/>
  <c r="E59"/>
  <c r="N58"/>
  <c r="M58"/>
  <c r="J58"/>
  <c r="I58"/>
  <c r="F58"/>
  <c r="E58"/>
  <c r="N57"/>
  <c r="M57"/>
  <c r="J57"/>
  <c r="I57"/>
  <c r="F57"/>
  <c r="E57"/>
  <c r="N56"/>
  <c r="M56"/>
  <c r="J56"/>
  <c r="I56"/>
  <c r="F56"/>
  <c r="E56"/>
  <c r="N55"/>
  <c r="M55"/>
  <c r="J55"/>
  <c r="I55"/>
  <c r="F55"/>
  <c r="E55"/>
  <c r="N54"/>
  <c r="M54"/>
  <c r="J54"/>
  <c r="I54"/>
  <c r="F54"/>
  <c r="E54"/>
  <c r="N53"/>
  <c r="M53"/>
  <c r="J53"/>
  <c r="I53"/>
  <c r="F53"/>
  <c r="E53"/>
  <c r="N52"/>
  <c r="M52"/>
  <c r="J52"/>
  <c r="I52"/>
  <c r="F52"/>
  <c r="E52"/>
  <c r="N51"/>
  <c r="M51"/>
  <c r="J51"/>
  <c r="I51"/>
  <c r="F51"/>
  <c r="E51"/>
  <c r="N50"/>
  <c r="M50"/>
  <c r="J50"/>
  <c r="I50"/>
  <c r="F50"/>
  <c r="E50"/>
  <c r="N49"/>
  <c r="M49"/>
  <c r="J49"/>
  <c r="I49"/>
  <c r="F49"/>
  <c r="E49"/>
  <c r="N48"/>
  <c r="M48"/>
  <c r="J48"/>
  <c r="I48"/>
  <c r="F48"/>
  <c r="E48"/>
  <c r="N47"/>
  <c r="M47"/>
  <c r="J47"/>
  <c r="I47"/>
  <c r="E47"/>
  <c r="N46"/>
  <c r="M46"/>
  <c r="J46"/>
  <c r="I46"/>
  <c r="F46"/>
  <c r="E46"/>
  <c r="N45"/>
  <c r="M45"/>
  <c r="J45"/>
  <c r="I45"/>
  <c r="F45"/>
  <c r="E45"/>
  <c r="N44"/>
  <c r="M44"/>
  <c r="J44"/>
  <c r="I44"/>
  <c r="F44"/>
  <c r="E44"/>
  <c r="N43"/>
  <c r="M43"/>
  <c r="J43"/>
  <c r="I43"/>
  <c r="F43"/>
  <c r="E43"/>
  <c r="N42"/>
  <c r="M42"/>
  <c r="J42"/>
  <c r="I42"/>
  <c r="F42"/>
  <c r="E42"/>
  <c r="N41"/>
  <c r="M41"/>
  <c r="J41"/>
  <c r="I41"/>
  <c r="F41"/>
  <c r="E41"/>
  <c r="N40"/>
  <c r="M40"/>
  <c r="J40"/>
  <c r="I40"/>
  <c r="F40"/>
  <c r="E40"/>
  <c r="N38"/>
  <c r="M38"/>
  <c r="J38"/>
  <c r="I38"/>
  <c r="F38"/>
  <c r="E38"/>
  <c r="N37"/>
  <c r="M37"/>
  <c r="J37"/>
  <c r="I37"/>
  <c r="F37"/>
  <c r="E37"/>
  <c r="N36"/>
  <c r="M36"/>
  <c r="J36"/>
  <c r="I36"/>
  <c r="F36"/>
  <c r="E36"/>
  <c r="N35"/>
  <c r="M35"/>
  <c r="J35"/>
  <c r="I35"/>
  <c r="F35"/>
  <c r="E35"/>
  <c r="N34"/>
  <c r="M34"/>
  <c r="J34"/>
  <c r="I34"/>
  <c r="F34"/>
  <c r="E34"/>
  <c r="N32"/>
  <c r="M32"/>
  <c r="I32"/>
  <c r="E32"/>
  <c r="M30"/>
  <c r="I30"/>
  <c r="E30"/>
  <c r="N29"/>
  <c r="M29"/>
  <c r="J29"/>
  <c r="I29"/>
  <c r="F29"/>
  <c r="E29"/>
  <c r="N28"/>
  <c r="M28"/>
  <c r="J28"/>
  <c r="I28"/>
  <c r="F28"/>
  <c r="E28"/>
  <c r="N26"/>
  <c r="M26"/>
  <c r="I26"/>
  <c r="F26"/>
  <c r="E26"/>
  <c r="N24"/>
  <c r="M24"/>
  <c r="J24"/>
  <c r="I24"/>
  <c r="F24"/>
  <c r="E24"/>
  <c r="M23"/>
  <c r="J23"/>
  <c r="I23"/>
  <c r="F23"/>
  <c r="E23"/>
  <c r="N22"/>
  <c r="M22"/>
  <c r="J22"/>
  <c r="I22"/>
  <c r="F22"/>
  <c r="E22"/>
  <c r="N21"/>
  <c r="M21"/>
  <c r="J21"/>
  <c r="I21"/>
  <c r="F21"/>
  <c r="E21"/>
  <c r="N20"/>
  <c r="M20"/>
  <c r="J20"/>
  <c r="I20"/>
  <c r="F20"/>
  <c r="E20"/>
  <c r="N19"/>
  <c r="M19"/>
  <c r="J19"/>
  <c r="I19"/>
  <c r="F19"/>
  <c r="E19"/>
  <c r="N18"/>
  <c r="M18"/>
  <c r="J18"/>
  <c r="I18"/>
  <c r="F18"/>
  <c r="E18"/>
  <c r="N17"/>
  <c r="M17"/>
  <c r="J17"/>
  <c r="I17"/>
  <c r="F17"/>
  <c r="E17"/>
  <c r="N16"/>
  <c r="M16"/>
  <c r="J16"/>
  <c r="I16"/>
  <c r="F16"/>
  <c r="E16"/>
  <c r="N15"/>
  <c r="M15"/>
  <c r="J15"/>
  <c r="I15"/>
  <c r="E15"/>
  <c r="N14"/>
  <c r="M14"/>
  <c r="J14"/>
  <c r="I14"/>
  <c r="F14"/>
  <c r="E14"/>
  <c r="N13"/>
  <c r="M13"/>
  <c r="J13"/>
  <c r="I13"/>
  <c r="F13"/>
  <c r="E13"/>
  <c r="N12"/>
  <c r="M12"/>
  <c r="J12"/>
  <c r="I12"/>
  <c r="F12"/>
  <c r="E12"/>
  <c r="N11"/>
  <c r="M11"/>
  <c r="J11"/>
  <c r="I11"/>
  <c r="F11"/>
  <c r="E11"/>
  <c r="N9"/>
  <c r="M9"/>
  <c r="J9"/>
  <c r="I9"/>
  <c r="F9"/>
  <c r="E9"/>
  <c r="N8"/>
  <c r="M8"/>
  <c r="J8"/>
  <c r="I8"/>
  <c r="F8"/>
  <c r="E8"/>
  <c r="L89" i="1"/>
  <c r="T89"/>
  <c r="S89"/>
  <c r="K89"/>
  <c r="G89"/>
  <c r="D89"/>
  <c r="H89"/>
  <c r="C89"/>
  <c r="E61"/>
  <c r="E89" l="1"/>
  <c r="N89"/>
  <c r="O68" i="2"/>
  <c r="O27"/>
  <c r="O33"/>
  <c r="O39"/>
  <c r="O10"/>
  <c r="I87"/>
  <c r="O87"/>
  <c r="J89" i="1"/>
  <c r="P89"/>
  <c r="F89"/>
  <c r="I89"/>
  <c r="O89"/>
  <c r="V89"/>
  <c r="U89"/>
  <c r="AE89"/>
  <c r="N27" i="2"/>
  <c r="I27"/>
  <c r="M27"/>
  <c r="I67"/>
  <c r="J27"/>
  <c r="E33"/>
  <c r="I33"/>
  <c r="J39"/>
  <c r="N39"/>
  <c r="E87"/>
  <c r="M87"/>
  <c r="E10"/>
  <c r="I10"/>
  <c r="M10"/>
  <c r="F10"/>
  <c r="J10"/>
  <c r="N10"/>
  <c r="F33"/>
  <c r="J33"/>
  <c r="N33"/>
  <c r="F27"/>
  <c r="E39"/>
  <c r="I39"/>
  <c r="M39"/>
  <c r="F67"/>
  <c r="F68"/>
  <c r="M68"/>
  <c r="F87"/>
  <c r="J87"/>
  <c r="N87"/>
  <c r="F39"/>
  <c r="N68"/>
  <c r="M89" i="1"/>
  <c r="X30"/>
  <c r="G68"/>
  <c r="C68"/>
  <c r="J88" i="2" l="1"/>
  <c r="Q89" i="1"/>
  <c r="J68" i="2"/>
  <c r="I68"/>
  <c r="L69" i="1"/>
  <c r="H69"/>
  <c r="G69"/>
  <c r="D69"/>
  <c r="X87"/>
  <c r="W87"/>
  <c r="X86"/>
  <c r="W86"/>
  <c r="X85"/>
  <c r="X84"/>
  <c r="W84"/>
  <c r="W83"/>
  <c r="X82"/>
  <c r="W82"/>
  <c r="X81"/>
  <c r="W81"/>
  <c r="X80"/>
  <c r="X79"/>
  <c r="W79"/>
  <c r="X78"/>
  <c r="W78"/>
  <c r="X76"/>
  <c r="W76"/>
  <c r="X75"/>
  <c r="W74"/>
  <c r="X73"/>
  <c r="W73"/>
  <c r="X72"/>
  <c r="W72"/>
  <c r="X71"/>
  <c r="X89" s="1"/>
  <c r="W71"/>
  <c r="T69"/>
  <c r="S69"/>
  <c r="X68"/>
  <c r="W68"/>
  <c r="X67"/>
  <c r="W67"/>
  <c r="X66"/>
  <c r="W66"/>
  <c r="X65"/>
  <c r="W65"/>
  <c r="P65"/>
  <c r="X64"/>
  <c r="W64"/>
  <c r="X62"/>
  <c r="W62"/>
  <c r="X61"/>
  <c r="W61"/>
  <c r="J60"/>
  <c r="X60"/>
  <c r="W60"/>
  <c r="X59"/>
  <c r="W59"/>
  <c r="X58"/>
  <c r="W58"/>
  <c r="X54"/>
  <c r="X57"/>
  <c r="W57"/>
  <c r="X56"/>
  <c r="W56"/>
  <c r="X55"/>
  <c r="W55"/>
  <c r="W54"/>
  <c r="X53"/>
  <c r="W53"/>
  <c r="X52"/>
  <c r="W52"/>
  <c r="X50"/>
  <c r="W50"/>
  <c r="X49"/>
  <c r="W49"/>
  <c r="X48"/>
  <c r="W48"/>
  <c r="X46"/>
  <c r="X47"/>
  <c r="W47"/>
  <c r="W46"/>
  <c r="X45"/>
  <c r="W45"/>
  <c r="X44"/>
  <c r="W44"/>
  <c r="X43"/>
  <c r="W43"/>
  <c r="X42"/>
  <c r="W42"/>
  <c r="X41"/>
  <c r="W41"/>
  <c r="X38"/>
  <c r="W38"/>
  <c r="W37"/>
  <c r="X37"/>
  <c r="X36"/>
  <c r="W36"/>
  <c r="X35"/>
  <c r="W35"/>
  <c r="W34"/>
  <c r="X34"/>
  <c r="T33"/>
  <c r="S33"/>
  <c r="L33"/>
  <c r="H33"/>
  <c r="G33"/>
  <c r="D33"/>
  <c r="X32"/>
  <c r="W32"/>
  <c r="W30"/>
  <c r="X29"/>
  <c r="W29"/>
  <c r="W33" s="1"/>
  <c r="T28"/>
  <c r="S28"/>
  <c r="L28"/>
  <c r="H28"/>
  <c r="G28"/>
  <c r="D28"/>
  <c r="X27"/>
  <c r="W27"/>
  <c r="P27"/>
  <c r="W26"/>
  <c r="I88" i="2" l="1"/>
  <c r="I69"/>
  <c r="W89" i="1"/>
  <c r="Y89" s="1"/>
  <c r="J69" i="2"/>
  <c r="E69"/>
  <c r="O69"/>
  <c r="AE33" i="1"/>
  <c r="AE28"/>
  <c r="AE69"/>
  <c r="M69" i="2"/>
  <c r="N69"/>
  <c r="F69"/>
  <c r="X33" i="1"/>
  <c r="X69"/>
  <c r="V33"/>
  <c r="W69"/>
  <c r="Y34"/>
  <c r="Z34"/>
  <c r="P24"/>
  <c r="X23"/>
  <c r="W23"/>
  <c r="X22"/>
  <c r="W22"/>
  <c r="P21"/>
  <c r="X21"/>
  <c r="W21"/>
  <c r="X20"/>
  <c r="W20"/>
  <c r="X19"/>
  <c r="W19"/>
  <c r="X18"/>
  <c r="W18"/>
  <c r="X17"/>
  <c r="W17"/>
  <c r="AB11"/>
  <c r="AA11"/>
  <c r="T11"/>
  <c r="S11"/>
  <c r="P11"/>
  <c r="O11"/>
  <c r="Y24"/>
  <c r="Y25"/>
  <c r="Y26"/>
  <c r="Y27"/>
  <c r="Y29"/>
  <c r="Y30"/>
  <c r="Y31"/>
  <c r="Y32"/>
  <c r="Y33"/>
  <c r="Y35"/>
  <c r="Y36"/>
  <c r="Y37"/>
  <c r="Y38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Z24"/>
  <c r="Z25"/>
  <c r="Z26"/>
  <c r="Z27"/>
  <c r="Z29"/>
  <c r="Z30"/>
  <c r="Z31"/>
  <c r="Z32"/>
  <c r="Z33"/>
  <c r="Z35"/>
  <c r="Z36"/>
  <c r="Z37"/>
  <c r="Z38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71"/>
  <c r="Z72"/>
  <c r="Z73"/>
  <c r="Z74"/>
  <c r="Z75"/>
  <c r="Z76"/>
  <c r="Z77"/>
  <c r="Z78"/>
  <c r="Z79"/>
  <c r="Z80"/>
  <c r="Z81"/>
  <c r="Z82"/>
  <c r="Z83"/>
  <c r="Z84"/>
  <c r="Z85"/>
  <c r="Z86"/>
  <c r="Z87"/>
  <c r="AD10"/>
  <c r="AD12"/>
  <c r="AD13"/>
  <c r="AD14"/>
  <c r="AD15"/>
  <c r="AC10"/>
  <c r="AC12"/>
  <c r="AC13"/>
  <c r="AC14"/>
  <c r="AC15"/>
  <c r="AD9"/>
  <c r="AC9"/>
  <c r="AB27"/>
  <c r="AB65"/>
  <c r="X16"/>
  <c r="W16"/>
  <c r="X15"/>
  <c r="W15"/>
  <c r="X14"/>
  <c r="W14"/>
  <c r="X13"/>
  <c r="W13"/>
  <c r="U10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V10"/>
  <c r="V12"/>
  <c r="V13"/>
  <c r="V14"/>
  <c r="V15"/>
  <c r="V16"/>
  <c r="V17"/>
  <c r="V18"/>
  <c r="V19"/>
  <c r="V20"/>
  <c r="V21"/>
  <c r="V22"/>
  <c r="V23"/>
  <c r="V28"/>
  <c r="V29"/>
  <c r="V30"/>
  <c r="V31"/>
  <c r="V32"/>
  <c r="V35"/>
  <c r="V36"/>
  <c r="V37"/>
  <c r="V38"/>
  <c r="V41"/>
  <c r="V42"/>
  <c r="V43"/>
  <c r="V44"/>
  <c r="V45"/>
  <c r="V46"/>
  <c r="V52"/>
  <c r="V54"/>
  <c r="V55"/>
  <c r="V56"/>
  <c r="V61"/>
  <c r="V62"/>
  <c r="V64"/>
  <c r="V66"/>
  <c r="V67"/>
  <c r="V68"/>
  <c r="V69"/>
  <c r="V71"/>
  <c r="V72"/>
  <c r="V73"/>
  <c r="V74"/>
  <c r="V75"/>
  <c r="V76"/>
  <c r="V77"/>
  <c r="V78"/>
  <c r="V79"/>
  <c r="V81"/>
  <c r="V83"/>
  <c r="V84"/>
  <c r="V85"/>
  <c r="V86"/>
  <c r="V87"/>
  <c r="V9"/>
  <c r="U9"/>
  <c r="R10"/>
  <c r="R12"/>
  <c r="R13"/>
  <c r="Q10"/>
  <c r="Q12"/>
  <c r="Q13"/>
  <c r="R9"/>
  <c r="Q9"/>
  <c r="N10"/>
  <c r="N12"/>
  <c r="N13"/>
  <c r="N14"/>
  <c r="N15"/>
  <c r="N16"/>
  <c r="N17"/>
  <c r="N18"/>
  <c r="N19"/>
  <c r="N20"/>
  <c r="N21"/>
  <c r="N22"/>
  <c r="N23"/>
  <c r="N24"/>
  <c r="N26"/>
  <c r="N27"/>
  <c r="N29"/>
  <c r="N30"/>
  <c r="N31"/>
  <c r="N32"/>
  <c r="N34"/>
  <c r="N35"/>
  <c r="N36"/>
  <c r="N37"/>
  <c r="N38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71"/>
  <c r="N72"/>
  <c r="N73"/>
  <c r="N74"/>
  <c r="N75"/>
  <c r="N76"/>
  <c r="N77"/>
  <c r="N78"/>
  <c r="N79"/>
  <c r="N80"/>
  <c r="N81"/>
  <c r="N82"/>
  <c r="N83"/>
  <c r="N84"/>
  <c r="N85"/>
  <c r="N86"/>
  <c r="N87"/>
  <c r="M10"/>
  <c r="M12"/>
  <c r="M13"/>
  <c r="M14"/>
  <c r="M15"/>
  <c r="M16"/>
  <c r="M17"/>
  <c r="M18"/>
  <c r="M19"/>
  <c r="M20"/>
  <c r="M21"/>
  <c r="M22"/>
  <c r="M23"/>
  <c r="M24"/>
  <c r="M25"/>
  <c r="M26"/>
  <c r="M27"/>
  <c r="M29"/>
  <c r="M30"/>
  <c r="M31"/>
  <c r="M32"/>
  <c r="M34"/>
  <c r="M35"/>
  <c r="M36"/>
  <c r="M37"/>
  <c r="M38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L11"/>
  <c r="I10"/>
  <c r="I12"/>
  <c r="I13"/>
  <c r="I9"/>
  <c r="H11"/>
  <c r="G11"/>
  <c r="D11"/>
  <c r="N9"/>
  <c r="M9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3"/>
  <c r="J34"/>
  <c r="J35"/>
  <c r="J36"/>
  <c r="J37"/>
  <c r="J38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68"/>
  <c r="J69"/>
  <c r="J71"/>
  <c r="J72"/>
  <c r="J73"/>
  <c r="J74"/>
  <c r="J75"/>
  <c r="J76"/>
  <c r="J77"/>
  <c r="J78"/>
  <c r="J79"/>
  <c r="J80"/>
  <c r="J81"/>
  <c r="J82"/>
  <c r="J83"/>
  <c r="J84"/>
  <c r="J85"/>
  <c r="J86"/>
  <c r="J87"/>
  <c r="J9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O15"/>
  <c r="O16"/>
  <c r="O17"/>
  <c r="O18"/>
  <c r="O19"/>
  <c r="O20"/>
  <c r="O21"/>
  <c r="O22"/>
  <c r="AA22" s="1"/>
  <c r="O23"/>
  <c r="AA23" s="1"/>
  <c r="O24"/>
  <c r="AA24" s="1"/>
  <c r="O25"/>
  <c r="AA25" s="1"/>
  <c r="O26"/>
  <c r="AA26" s="1"/>
  <c r="O27"/>
  <c r="AA27" s="1"/>
  <c r="O29"/>
  <c r="AA29" s="1"/>
  <c r="O30"/>
  <c r="AA30" s="1"/>
  <c r="O31"/>
  <c r="AA31" s="1"/>
  <c r="O32"/>
  <c r="O34"/>
  <c r="AA34" s="1"/>
  <c r="O35"/>
  <c r="AA35" s="1"/>
  <c r="O36"/>
  <c r="AA36" s="1"/>
  <c r="O37"/>
  <c r="AA37" s="1"/>
  <c r="O38"/>
  <c r="AA38" s="1"/>
  <c r="O41"/>
  <c r="AA41" s="1"/>
  <c r="O42"/>
  <c r="AA42" s="1"/>
  <c r="O43"/>
  <c r="AA43" s="1"/>
  <c r="O44"/>
  <c r="AA44" s="1"/>
  <c r="O45"/>
  <c r="AA45" s="1"/>
  <c r="O46"/>
  <c r="AA46" s="1"/>
  <c r="O47"/>
  <c r="AA47" s="1"/>
  <c r="O48"/>
  <c r="AA48" s="1"/>
  <c r="O49"/>
  <c r="AA49" s="1"/>
  <c r="O50"/>
  <c r="AA50" s="1"/>
  <c r="O51"/>
  <c r="AA51" s="1"/>
  <c r="O52"/>
  <c r="AA52" s="1"/>
  <c r="O53"/>
  <c r="AA53" s="1"/>
  <c r="O54"/>
  <c r="AA54" s="1"/>
  <c r="O55"/>
  <c r="AA55" s="1"/>
  <c r="O56"/>
  <c r="AA56" s="1"/>
  <c r="O57"/>
  <c r="AA57" s="1"/>
  <c r="O58"/>
  <c r="AA58" s="1"/>
  <c r="O59"/>
  <c r="AA59" s="1"/>
  <c r="O60"/>
  <c r="AA60" s="1"/>
  <c r="O61"/>
  <c r="AA61" s="1"/>
  <c r="O62"/>
  <c r="AA62" s="1"/>
  <c r="O63"/>
  <c r="AA63" s="1"/>
  <c r="O64"/>
  <c r="AA64" s="1"/>
  <c r="O65"/>
  <c r="R65" s="1"/>
  <c r="O66"/>
  <c r="AA66" s="1"/>
  <c r="O67"/>
  <c r="AA67" s="1"/>
  <c r="O68"/>
  <c r="AA68" s="1"/>
  <c r="O71"/>
  <c r="AA71" s="1"/>
  <c r="O72"/>
  <c r="AA72" s="1"/>
  <c r="O73"/>
  <c r="AA73" s="1"/>
  <c r="O74"/>
  <c r="AA74" s="1"/>
  <c r="O75"/>
  <c r="AA75" s="1"/>
  <c r="O76"/>
  <c r="AA76" s="1"/>
  <c r="O77"/>
  <c r="AA77" s="1"/>
  <c r="O78"/>
  <c r="AA78" s="1"/>
  <c r="O79"/>
  <c r="AA79" s="1"/>
  <c r="O80"/>
  <c r="AA80" s="1"/>
  <c r="O81"/>
  <c r="AA81" s="1"/>
  <c r="O82"/>
  <c r="AA82" s="1"/>
  <c r="O83"/>
  <c r="AA83" s="1"/>
  <c r="O84"/>
  <c r="AA84" s="1"/>
  <c r="O85"/>
  <c r="AA85" s="1"/>
  <c r="O86"/>
  <c r="AA86" s="1"/>
  <c r="O87"/>
  <c r="AA87" s="1"/>
  <c r="O88"/>
  <c r="AA88" s="1"/>
  <c r="P15"/>
  <c r="P16"/>
  <c r="P17"/>
  <c r="AB17" s="1"/>
  <c r="P18"/>
  <c r="P19"/>
  <c r="AB19" s="1"/>
  <c r="P20"/>
  <c r="P22"/>
  <c r="P23"/>
  <c r="Q24"/>
  <c r="P25"/>
  <c r="P26"/>
  <c r="Q26" s="1"/>
  <c r="P28"/>
  <c r="P29"/>
  <c r="P30"/>
  <c r="AB30" s="1"/>
  <c r="P31"/>
  <c r="Q31" s="1"/>
  <c r="P32"/>
  <c r="AB32" s="1"/>
  <c r="P33"/>
  <c r="AB33" s="1"/>
  <c r="P34"/>
  <c r="P35"/>
  <c r="AB35" s="1"/>
  <c r="P36"/>
  <c r="P37"/>
  <c r="AB37" s="1"/>
  <c r="P38"/>
  <c r="P41"/>
  <c r="P42"/>
  <c r="AB42" s="1"/>
  <c r="P43"/>
  <c r="P44"/>
  <c r="AB44" s="1"/>
  <c r="P45"/>
  <c r="P46"/>
  <c r="AB46" s="1"/>
  <c r="P47"/>
  <c r="P48"/>
  <c r="AB48" s="1"/>
  <c r="P49"/>
  <c r="P50"/>
  <c r="AB50" s="1"/>
  <c r="P51"/>
  <c r="P52"/>
  <c r="AB52" s="1"/>
  <c r="P53"/>
  <c r="P54"/>
  <c r="AB54" s="1"/>
  <c r="P55"/>
  <c r="P56"/>
  <c r="AB56" s="1"/>
  <c r="P57"/>
  <c r="P58"/>
  <c r="AB58" s="1"/>
  <c r="P59"/>
  <c r="P60"/>
  <c r="AB60" s="1"/>
  <c r="P61"/>
  <c r="AB61" s="1"/>
  <c r="P62"/>
  <c r="P63"/>
  <c r="AB63" s="1"/>
  <c r="P64"/>
  <c r="P66"/>
  <c r="AB66" s="1"/>
  <c r="P67"/>
  <c r="P68"/>
  <c r="AB68" s="1"/>
  <c r="P71"/>
  <c r="P72"/>
  <c r="AB72" s="1"/>
  <c r="P73"/>
  <c r="P74"/>
  <c r="AB74" s="1"/>
  <c r="P75"/>
  <c r="P76"/>
  <c r="AB76" s="1"/>
  <c r="P77"/>
  <c r="P78"/>
  <c r="AB78" s="1"/>
  <c r="P79"/>
  <c r="P80"/>
  <c r="AB80" s="1"/>
  <c r="P81"/>
  <c r="P82"/>
  <c r="AB82" s="1"/>
  <c r="P83"/>
  <c r="P84"/>
  <c r="R84" s="1"/>
  <c r="P85"/>
  <c r="P86"/>
  <c r="R86" s="1"/>
  <c r="P87"/>
  <c r="P88"/>
  <c r="P14"/>
  <c r="O14"/>
  <c r="X12"/>
  <c r="W12"/>
  <c r="X10"/>
  <c r="W10"/>
  <c r="F10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4"/>
  <c r="F35"/>
  <c r="F36"/>
  <c r="F37"/>
  <c r="F38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1"/>
  <c r="F72"/>
  <c r="F73"/>
  <c r="F74"/>
  <c r="F75"/>
  <c r="F76"/>
  <c r="F77"/>
  <c r="F78"/>
  <c r="F79"/>
  <c r="F80"/>
  <c r="F81"/>
  <c r="F82"/>
  <c r="F83"/>
  <c r="F84"/>
  <c r="F85"/>
  <c r="F86"/>
  <c r="F87"/>
  <c r="X9"/>
  <c r="W9"/>
  <c r="K69"/>
  <c r="N69" s="1"/>
  <c r="K33"/>
  <c r="M33" s="1"/>
  <c r="K28"/>
  <c r="N28" s="1"/>
  <c r="K11"/>
  <c r="F9"/>
  <c r="E10"/>
  <c r="E12"/>
  <c r="E13"/>
  <c r="E14"/>
  <c r="E15"/>
  <c r="E16"/>
  <c r="E17"/>
  <c r="E18"/>
  <c r="E19"/>
  <c r="E20"/>
  <c r="E21"/>
  <c r="E22"/>
  <c r="E23"/>
  <c r="E24"/>
  <c r="E25"/>
  <c r="E26"/>
  <c r="E27"/>
  <c r="E29"/>
  <c r="E30"/>
  <c r="E31"/>
  <c r="E32"/>
  <c r="E34"/>
  <c r="E35"/>
  <c r="E36"/>
  <c r="E37"/>
  <c r="E38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2"/>
  <c r="E63"/>
  <c r="E64"/>
  <c r="E65"/>
  <c r="E66"/>
  <c r="E67"/>
  <c r="E68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"/>
  <c r="C69"/>
  <c r="E69" s="1"/>
  <c r="C33"/>
  <c r="E33" s="1"/>
  <c r="C28"/>
  <c r="C11"/>
  <c r="E11" s="1"/>
  <c r="AE11" l="1"/>
  <c r="R11"/>
  <c r="AC11"/>
  <c r="Z17"/>
  <c r="Z18"/>
  <c r="Z19"/>
  <c r="Z20"/>
  <c r="Z21"/>
  <c r="Z89"/>
  <c r="N88" i="2"/>
  <c r="O88"/>
  <c r="M88"/>
  <c r="AA89" i="1"/>
  <c r="F88" i="2"/>
  <c r="E88"/>
  <c r="R87" i="1"/>
  <c r="R85"/>
  <c r="R83"/>
  <c r="Q81"/>
  <c r="R79"/>
  <c r="R77"/>
  <c r="R73"/>
  <c r="R71"/>
  <c r="R67"/>
  <c r="Z69"/>
  <c r="AB21"/>
  <c r="Y22"/>
  <c r="Z23"/>
  <c r="W11"/>
  <c r="X28"/>
  <c r="Q59"/>
  <c r="Q57"/>
  <c r="Q55"/>
  <c r="R53"/>
  <c r="Q51"/>
  <c r="Q49"/>
  <c r="Q47"/>
  <c r="Q45"/>
  <c r="Q43"/>
  <c r="Q38"/>
  <c r="R36"/>
  <c r="R34"/>
  <c r="Q20"/>
  <c r="Q18"/>
  <c r="Q16"/>
  <c r="AA21"/>
  <c r="AD21" s="1"/>
  <c r="AA19"/>
  <c r="AA17"/>
  <c r="AD17" s="1"/>
  <c r="U11"/>
  <c r="AB22"/>
  <c r="AD22" s="1"/>
  <c r="Y9"/>
  <c r="W28"/>
  <c r="Z28" s="1"/>
  <c r="Q64"/>
  <c r="R62"/>
  <c r="AB23"/>
  <c r="R15"/>
  <c r="AA20"/>
  <c r="AA18"/>
  <c r="AA16"/>
  <c r="Q11"/>
  <c r="V11"/>
  <c r="Z13"/>
  <c r="Y14"/>
  <c r="Z15"/>
  <c r="Y16"/>
  <c r="Z22"/>
  <c r="Z10"/>
  <c r="Y28"/>
  <c r="Q14"/>
  <c r="AD11"/>
  <c r="R24"/>
  <c r="F11"/>
  <c r="I11"/>
  <c r="M69"/>
  <c r="AB16"/>
  <c r="Z9"/>
  <c r="Z16"/>
  <c r="Z14"/>
  <c r="Z12"/>
  <c r="Y15"/>
  <c r="Y13"/>
  <c r="Y10"/>
  <c r="X11"/>
  <c r="E28"/>
  <c r="O28"/>
  <c r="AA28" s="1"/>
  <c r="R41"/>
  <c r="P69"/>
  <c r="AB69" s="1"/>
  <c r="F28"/>
  <c r="M11"/>
  <c r="N11"/>
  <c r="Y12"/>
  <c r="Q88"/>
  <c r="AB88"/>
  <c r="Q87"/>
  <c r="AB87"/>
  <c r="Q86"/>
  <c r="AB86"/>
  <c r="Q85"/>
  <c r="AB85"/>
  <c r="AD85" s="1"/>
  <c r="Q84"/>
  <c r="AB84"/>
  <c r="Q83"/>
  <c r="AB83"/>
  <c r="AC82"/>
  <c r="AD82"/>
  <c r="Q82"/>
  <c r="R82"/>
  <c r="AB81"/>
  <c r="R81"/>
  <c r="R80"/>
  <c r="Q80"/>
  <c r="AD80"/>
  <c r="Q79"/>
  <c r="AB79"/>
  <c r="AD79" s="1"/>
  <c r="R78"/>
  <c r="Q78"/>
  <c r="AD78"/>
  <c r="Q77"/>
  <c r="AB77"/>
  <c r="AD77" s="1"/>
  <c r="R76"/>
  <c r="Q76"/>
  <c r="AD76"/>
  <c r="Q75"/>
  <c r="AB75"/>
  <c r="AD75" s="1"/>
  <c r="R74"/>
  <c r="Q74"/>
  <c r="AD74"/>
  <c r="Q73"/>
  <c r="AB73"/>
  <c r="AD73" s="1"/>
  <c r="R72"/>
  <c r="Q72"/>
  <c r="AD72"/>
  <c r="Q71"/>
  <c r="AB71"/>
  <c r="R68"/>
  <c r="Q68"/>
  <c r="AD68"/>
  <c r="Q67"/>
  <c r="AB67"/>
  <c r="AD67" s="1"/>
  <c r="R66"/>
  <c r="Q66"/>
  <c r="AD66"/>
  <c r="Q65"/>
  <c r="AA65"/>
  <c r="AD65" s="1"/>
  <c r="AB64"/>
  <c r="AD64" s="1"/>
  <c r="R64"/>
  <c r="AD63"/>
  <c r="R63"/>
  <c r="Q63"/>
  <c r="Q62"/>
  <c r="AB62"/>
  <c r="AD62" s="1"/>
  <c r="AD61"/>
  <c r="O69"/>
  <c r="R61"/>
  <c r="F69"/>
  <c r="Q61"/>
  <c r="R60"/>
  <c r="Q60"/>
  <c r="AD60"/>
  <c r="AB59"/>
  <c r="R59"/>
  <c r="AD59"/>
  <c r="R58"/>
  <c r="Q58"/>
  <c r="AD58"/>
  <c r="AB57"/>
  <c r="AC57" s="1"/>
  <c r="R57"/>
  <c r="AD57"/>
  <c r="Q56"/>
  <c r="R56"/>
  <c r="AD56"/>
  <c r="AB55"/>
  <c r="AC55" s="1"/>
  <c r="R55"/>
  <c r="AD55"/>
  <c r="Q54"/>
  <c r="R54"/>
  <c r="AD54"/>
  <c r="Q53"/>
  <c r="AB53"/>
  <c r="AD53" s="1"/>
  <c r="R52"/>
  <c r="Q52"/>
  <c r="AD52"/>
  <c r="AB51"/>
  <c r="R51"/>
  <c r="AD51"/>
  <c r="R50"/>
  <c r="Q50"/>
  <c r="AD50"/>
  <c r="AB49"/>
  <c r="AC49" s="1"/>
  <c r="R49"/>
  <c r="AD49"/>
  <c r="R48"/>
  <c r="Q48"/>
  <c r="AD48"/>
  <c r="AB47"/>
  <c r="AC47" s="1"/>
  <c r="R47"/>
  <c r="AD47"/>
  <c r="Q46"/>
  <c r="R46"/>
  <c r="AD46"/>
  <c r="AB45"/>
  <c r="AD45" s="1"/>
  <c r="R45"/>
  <c r="Q44"/>
  <c r="R44"/>
  <c r="AD44"/>
  <c r="AB43"/>
  <c r="AC43" s="1"/>
  <c r="R43"/>
  <c r="AD43"/>
  <c r="Q42"/>
  <c r="R42"/>
  <c r="AD42"/>
  <c r="Q41"/>
  <c r="AB41"/>
  <c r="AD41" s="1"/>
  <c r="AB38"/>
  <c r="AC38" s="1"/>
  <c r="R38"/>
  <c r="AD38"/>
  <c r="AD37"/>
  <c r="R37"/>
  <c r="Q37"/>
  <c r="Q36"/>
  <c r="AB36"/>
  <c r="AD36" s="1"/>
  <c r="AD35"/>
  <c r="R35"/>
  <c r="Q35"/>
  <c r="AC80"/>
  <c r="AC78"/>
  <c r="AC76"/>
  <c r="AC74"/>
  <c r="AC72"/>
  <c r="AC63"/>
  <c r="AC61"/>
  <c r="AC59"/>
  <c r="AC51"/>
  <c r="AC79"/>
  <c r="AC77"/>
  <c r="AC75"/>
  <c r="AC71"/>
  <c r="AC68"/>
  <c r="AC66"/>
  <c r="AC62"/>
  <c r="AC60"/>
  <c r="AC58"/>
  <c r="AC56"/>
  <c r="AC54"/>
  <c r="AC52"/>
  <c r="AC50"/>
  <c r="AC48"/>
  <c r="AC46"/>
  <c r="AC44"/>
  <c r="AC42"/>
  <c r="AC37"/>
  <c r="AC35"/>
  <c r="Q34"/>
  <c r="AB34"/>
  <c r="Q32"/>
  <c r="O33"/>
  <c r="AA32"/>
  <c r="AD32" s="1"/>
  <c r="F33"/>
  <c r="N33"/>
  <c r="AB31"/>
  <c r="R31"/>
  <c r="Q30"/>
  <c r="R30"/>
  <c r="AD30"/>
  <c r="AC30"/>
  <c r="AB28"/>
  <c r="R28"/>
  <c r="R29"/>
  <c r="AB29"/>
  <c r="Q29"/>
  <c r="R27"/>
  <c r="Q27"/>
  <c r="AC27"/>
  <c r="AD27"/>
  <c r="AB26"/>
  <c r="R26"/>
  <c r="M28"/>
  <c r="AB25"/>
  <c r="Q25"/>
  <c r="AB24"/>
  <c r="Y23"/>
  <c r="AC23"/>
  <c r="AD23"/>
  <c r="Q23"/>
  <c r="R23"/>
  <c r="AC22"/>
  <c r="Q22"/>
  <c r="R22"/>
  <c r="Y21"/>
  <c r="AC21"/>
  <c r="Q21"/>
  <c r="R21"/>
  <c r="Y20"/>
  <c r="R20"/>
  <c r="AB20"/>
  <c r="Y19"/>
  <c r="AC19"/>
  <c r="AD19"/>
  <c r="Q19"/>
  <c r="R19"/>
  <c r="Y18"/>
  <c r="R18"/>
  <c r="AB18"/>
  <c r="Y17"/>
  <c r="AC17"/>
  <c r="Q17"/>
  <c r="R17"/>
  <c r="Z11"/>
  <c r="R16"/>
  <c r="Q15"/>
  <c r="R14"/>
  <c r="J11"/>
  <c r="AB89" l="1"/>
  <c r="AC64"/>
  <c r="AC73"/>
  <c r="AC41"/>
  <c r="AC53"/>
  <c r="AC67"/>
  <c r="AC32"/>
  <c r="AC65"/>
  <c r="AD71"/>
  <c r="AC36"/>
  <c r="AD16"/>
  <c r="AC16"/>
  <c r="Q28"/>
  <c r="R89"/>
  <c r="Y11"/>
  <c r="AC88"/>
  <c r="AD87"/>
  <c r="AC87"/>
  <c r="AD86"/>
  <c r="AC86"/>
  <c r="AC85"/>
  <c r="AD84"/>
  <c r="AC84"/>
  <c r="AD83"/>
  <c r="AC83"/>
  <c r="AD81"/>
  <c r="AC81"/>
  <c r="AA69"/>
  <c r="Q69"/>
  <c r="R69"/>
  <c r="AC45"/>
  <c r="AC34"/>
  <c r="AD34"/>
  <c r="AA33"/>
  <c r="R33"/>
  <c r="Q33"/>
  <c r="AC31"/>
  <c r="AD31"/>
  <c r="AC28"/>
  <c r="AD28"/>
  <c r="AD29"/>
  <c r="AC29"/>
  <c r="AD26"/>
  <c r="AC26"/>
  <c r="AD25"/>
  <c r="AC25"/>
  <c r="AD24"/>
  <c r="AC24"/>
  <c r="AD20"/>
  <c r="AC20"/>
  <c r="AD18"/>
  <c r="AC18"/>
  <c r="AC89" l="1"/>
  <c r="AD89"/>
  <c r="AD69"/>
  <c r="AC69"/>
  <c r="AC33"/>
  <c r="AD33"/>
  <c r="G39"/>
  <c r="G40" s="1"/>
  <c r="S39"/>
  <c r="S40" s="1"/>
  <c r="K39"/>
  <c r="K40" s="1"/>
  <c r="W39"/>
  <c r="W40" s="1"/>
  <c r="D39"/>
  <c r="C39"/>
  <c r="C40" s="1"/>
  <c r="X39"/>
  <c r="H39"/>
  <c r="J39" s="1"/>
  <c r="T39"/>
  <c r="V39" s="1"/>
  <c r="L39"/>
  <c r="Z39" l="1"/>
  <c r="T40"/>
  <c r="V40" s="1"/>
  <c r="F39"/>
  <c r="AE39"/>
  <c r="N39"/>
  <c r="K70"/>
  <c r="K90" s="1"/>
  <c r="L40"/>
  <c r="H40"/>
  <c r="J40" s="1"/>
  <c r="O39"/>
  <c r="AA39" s="1"/>
  <c r="D40"/>
  <c r="P40" s="1"/>
  <c r="W70"/>
  <c r="W90" s="1"/>
  <c r="S70"/>
  <c r="S90" s="1"/>
  <c r="G70"/>
  <c r="G90" s="1"/>
  <c r="C70"/>
  <c r="C90" s="1"/>
  <c r="M39"/>
  <c r="I39"/>
  <c r="Y39"/>
  <c r="E39"/>
  <c r="U40"/>
  <c r="U39"/>
  <c r="X40"/>
  <c r="T70"/>
  <c r="T90" s="1"/>
  <c r="U90" s="1"/>
  <c r="O40"/>
  <c r="AA40" s="1"/>
  <c r="P39"/>
  <c r="AE40" l="1"/>
  <c r="V90"/>
  <c r="N40"/>
  <c r="E40"/>
  <c r="O70"/>
  <c r="O90" s="1"/>
  <c r="F40"/>
  <c r="D70"/>
  <c r="D90" s="1"/>
  <c r="E90" s="1"/>
  <c r="I40"/>
  <c r="H70"/>
  <c r="H90" s="1"/>
  <c r="J90" s="1"/>
  <c r="M40"/>
  <c r="L70"/>
  <c r="R39"/>
  <c r="AB39"/>
  <c r="Q39"/>
  <c r="V70"/>
  <c r="U70"/>
  <c r="I90"/>
  <c r="R40"/>
  <c r="AB40"/>
  <c r="Q40"/>
  <c r="Y40"/>
  <c r="Z40"/>
  <c r="X70"/>
  <c r="X90" s="1"/>
  <c r="F90"/>
  <c r="AA70" l="1"/>
  <c r="AA90" s="1"/>
  <c r="AE70"/>
  <c r="L90"/>
  <c r="M70"/>
  <c r="N70"/>
  <c r="J70"/>
  <c r="I70"/>
  <c r="F70"/>
  <c r="P70"/>
  <c r="P90" s="1"/>
  <c r="R90" s="1"/>
  <c r="E70"/>
  <c r="AB70"/>
  <c r="AD40"/>
  <c r="AC40"/>
  <c r="Z70"/>
  <c r="Y70"/>
  <c r="Z90"/>
  <c r="Y90"/>
  <c r="AD39"/>
  <c r="AC39"/>
  <c r="Q90" l="1"/>
  <c r="AC70"/>
  <c r="AB90"/>
  <c r="AD90" s="1"/>
  <c r="AE90"/>
  <c r="N90"/>
  <c r="M90"/>
  <c r="AD70"/>
  <c r="R70"/>
  <c r="Q70"/>
  <c r="AC90" l="1"/>
</calcChain>
</file>

<file path=xl/sharedStrings.xml><?xml version="1.0" encoding="utf-8"?>
<sst xmlns="http://schemas.openxmlformats.org/spreadsheetml/2006/main" count="469" uniqueCount="220">
  <si>
    <t xml:space="preserve">Informația </t>
  </si>
  <si>
    <t>Nr. d/o</t>
  </si>
  <si>
    <t>Denumirea</t>
  </si>
  <si>
    <t>%</t>
  </si>
  <si>
    <t>4=3-2</t>
  </si>
  <si>
    <t>5=3/2</t>
  </si>
  <si>
    <t>8=7-6</t>
  </si>
  <si>
    <t>9=7/6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</si>
  <si>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</si>
  <si>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</si>
  <si>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</si>
  <si>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</si>
  <si>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</si>
  <si>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</si>
  <si>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</si>
  <si>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</si>
  <si>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</si>
  <si>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</si>
  <si>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</si>
  <si>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</si>
  <si>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</si>
  <si>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</si>
  <si>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Venituri din vînzări</t>
  </si>
  <si>
    <t>anul 2014, mii lei</t>
  </si>
  <si>
    <t>anul 2015, mii lei</t>
  </si>
  <si>
    <t>Profit net/pierdere netă</t>
  </si>
  <si>
    <t>12=11-10</t>
  </si>
  <si>
    <t>13=11/10</t>
  </si>
  <si>
    <t>Î.M. "Parcul urban de autobuze"</t>
  </si>
  <si>
    <t>Î.M. "Regia transport electric"</t>
  </si>
  <si>
    <t>Total servicii transport de pasageri</t>
  </si>
  <si>
    <t>Î.M. Institutul municipal de proiectări "Chişinăuproiect"</t>
  </si>
  <si>
    <t>Î.M. Asociaţia de gospodărire a spaţiilor verzi</t>
  </si>
  <si>
    <t>Î.M. "Regia exploatare a drumurilor şi podurilor "Exdrupo"</t>
  </si>
  <si>
    <t>Î.M. Regia Autosalubritate</t>
  </si>
  <si>
    <t>Î.M. Reţelele electrice de iluminat "Lumteh"</t>
  </si>
  <si>
    <t>Î.M. "Piaţa centrală"</t>
  </si>
  <si>
    <t>Î.M. "Liftservice"</t>
  </si>
  <si>
    <t>Î.M. "Infocom"</t>
  </si>
  <si>
    <t>Î.M."Primtrans"</t>
  </si>
  <si>
    <t xml:space="preserve">Î.M. Direcţia construcţii capitale a Primăriei municipiului Chişinău </t>
  </si>
  <si>
    <t>Î.M. Parcul "Dendrariu"</t>
  </si>
  <si>
    <t>Î.M. "Combinatul servicii funerare"</t>
  </si>
  <si>
    <t>15</t>
  </si>
  <si>
    <t>I.M.CEP"Chişinău-Prim"</t>
  </si>
  <si>
    <t>16</t>
  </si>
  <si>
    <t>Î.M. "Binefăcătorul"</t>
  </si>
  <si>
    <t>17</t>
  </si>
  <si>
    <t>Î.M. CCAD "Casa Limbii Române"</t>
  </si>
  <si>
    <t>18</t>
  </si>
  <si>
    <t>Î.M. Centrul Lingvistic</t>
  </si>
  <si>
    <t>Total lucrări și  servicii</t>
  </si>
  <si>
    <t>19</t>
  </si>
  <si>
    <t>Î.M. Teatrul municipal de păpuşi "Guguţă"</t>
  </si>
  <si>
    <t>20</t>
  </si>
  <si>
    <t>Î.M. Instituția Națională Teatrul Municipal "Satiricus - Ion Luca  Caragiale"</t>
  </si>
  <si>
    <t>21</t>
  </si>
  <si>
    <t>Î.M. "Teatrul unui actor"</t>
  </si>
  <si>
    <t>22</t>
  </si>
  <si>
    <t>Î.M.Centrul Naţional de Creaţie "Satul Moldovenesc Buciumul"</t>
  </si>
  <si>
    <t>Total cultură</t>
  </si>
  <si>
    <t>23</t>
  </si>
  <si>
    <t>Î.M. de alimentaţie publică "Dieta-Vitas"</t>
  </si>
  <si>
    <t>24</t>
  </si>
  <si>
    <t>Î.S. de alimentaţie publică "Râşcani-SC"</t>
  </si>
  <si>
    <t>25</t>
  </si>
  <si>
    <t>Î.S. de alimentaţie publică "Liceist"</t>
  </si>
  <si>
    <t>26</t>
  </si>
  <si>
    <t>Î.S. de alimentaţie publică "Adolescenţa"</t>
  </si>
  <si>
    <t>27</t>
  </si>
  <si>
    <t>Î.S. de alimentaţie publică "Bucuria EL"</t>
  </si>
  <si>
    <t>Total alimentație publică</t>
  </si>
  <si>
    <t xml:space="preserve">Total </t>
  </si>
  <si>
    <t>28</t>
  </si>
  <si>
    <t>Î.M. de gestionare a fondului locativ nr.1</t>
  </si>
  <si>
    <t>29</t>
  </si>
  <si>
    <t>Î.M. de gestionare a fondului locativ nr.2</t>
  </si>
  <si>
    <t>30</t>
  </si>
  <si>
    <t>Î.M. de gestionare a fondului locativ nr.3</t>
  </si>
  <si>
    <t>31</t>
  </si>
  <si>
    <t>Î.M. de gestionare a fondului locativ nr.4</t>
  </si>
  <si>
    <t>32</t>
  </si>
  <si>
    <t>Î.M. de gestionare a fondului locativ nr.5</t>
  </si>
  <si>
    <t>33</t>
  </si>
  <si>
    <t>Î.M. de gestionare a fondului locativ nr.6</t>
  </si>
  <si>
    <t>34</t>
  </si>
  <si>
    <t>Î.M. de gestionare a fondului locativ nr.7</t>
  </si>
  <si>
    <t>35</t>
  </si>
  <si>
    <t>Î.M. de gestionare a fondului locativ nr.8</t>
  </si>
  <si>
    <t>36</t>
  </si>
  <si>
    <t>Î.M. de gestionare a fondului locativ nr.9</t>
  </si>
  <si>
    <t>37</t>
  </si>
  <si>
    <t>Î.M. de gestionare a fondului locativ nr.10</t>
  </si>
  <si>
    <t>38</t>
  </si>
  <si>
    <t>Î.M. de gestionare a fondului locativ nr.11</t>
  </si>
  <si>
    <t>39</t>
  </si>
  <si>
    <t>Î.M. de gestionare a fondului locativ nr.12</t>
  </si>
  <si>
    <t>40</t>
  </si>
  <si>
    <t>Î.M. de gestionare a fondului locativ nr.13</t>
  </si>
  <si>
    <t>41</t>
  </si>
  <si>
    <t>Î.M. de gestionare a fondului locativ nr.14</t>
  </si>
  <si>
    <t>42</t>
  </si>
  <si>
    <t>Î.M. de gestionare a fondului locativ nr.15</t>
  </si>
  <si>
    <t>43</t>
  </si>
  <si>
    <t>Î.M. de gestionare a fondului locativ nr.16</t>
  </si>
  <si>
    <t>44</t>
  </si>
  <si>
    <t>Î.M. de gestionare a fondului locativ nr.17</t>
  </si>
  <si>
    <t>45</t>
  </si>
  <si>
    <t>Î.M. de gestionare a fondului locativ nr.18</t>
  </si>
  <si>
    <t>46</t>
  </si>
  <si>
    <t>Î.M. de gestionare a fondului locativ nr.19</t>
  </si>
  <si>
    <t>47</t>
  </si>
  <si>
    <t>Î.M. de gestionare a fondului locativ nr.20</t>
  </si>
  <si>
    <t>48</t>
  </si>
  <si>
    <t>Î.M. de gestionare a fondului locativ nr.21</t>
  </si>
  <si>
    <t>49</t>
  </si>
  <si>
    <t>Î.M. de gestionare a fondului locativ nr.22</t>
  </si>
  <si>
    <t>50</t>
  </si>
  <si>
    <t>Î.M. de gestionare a fondului locativ nr.23</t>
  </si>
  <si>
    <t>51</t>
  </si>
  <si>
    <t>Î.M. Servicii locative sectorul Râşcani</t>
  </si>
  <si>
    <t>52</t>
  </si>
  <si>
    <t>Î.M. Servicii locative sectorul Centru</t>
  </si>
  <si>
    <t>53</t>
  </si>
  <si>
    <t>Î.M. Servicii locative sectorul Ciocana</t>
  </si>
  <si>
    <t>54</t>
  </si>
  <si>
    <t>Î.M. Servicii locative sectorul Buiucani</t>
  </si>
  <si>
    <t>55</t>
  </si>
  <si>
    <t>Î.M. Servicii locative sectorul Botanica</t>
  </si>
  <si>
    <t>Total ÎMGFL și ÎMSL</t>
  </si>
  <si>
    <t>Total Î.M.</t>
  </si>
  <si>
    <t>56</t>
  </si>
  <si>
    <t>I.M.S.P. Spitalul clinic municipal nr.1</t>
  </si>
  <si>
    <t>57</t>
  </si>
  <si>
    <t>I.M.S.P. Spitalul clinic municipal "Sfântul Arhanghel Mihail"</t>
  </si>
  <si>
    <t>58</t>
  </si>
  <si>
    <t>I.M.S.P. Spitalul clinic municipal "Sfânta Treime"</t>
  </si>
  <si>
    <t>59</t>
  </si>
  <si>
    <t>I.M.S.P. Spitalul clinic municipal nr.4</t>
  </si>
  <si>
    <t>60</t>
  </si>
  <si>
    <t>I.M.S.P. Spitalul clinic municipal de copii "Valentin Ignatenco"</t>
  </si>
  <si>
    <t>61</t>
  </si>
  <si>
    <t>I.M.S.P. Spitalul clinic municipal de boli contagioase de copii</t>
  </si>
  <si>
    <t>62</t>
  </si>
  <si>
    <t>I.M.S.P. Spitalul clinic municipal de copii nr.1</t>
  </si>
  <si>
    <t>63</t>
  </si>
  <si>
    <t>I.M.S.P. Spitalul clinic municipal de ftiziopneumologie</t>
  </si>
  <si>
    <t>64</t>
  </si>
  <si>
    <t>I.M.S.P. Maternitatea nr.2</t>
  </si>
  <si>
    <t>65</t>
  </si>
  <si>
    <t>I.M.S.P. Centrul stomatologic municipal</t>
  </si>
  <si>
    <t>66</t>
  </si>
  <si>
    <t>I.M.S.P. Centrul stomatologic municipal de copii</t>
  </si>
  <si>
    <t>67</t>
  </si>
  <si>
    <t>I.M.S.P. Dispensarul municipal dermatovenerologic</t>
  </si>
  <si>
    <t>68</t>
  </si>
  <si>
    <t>I.M.S.P. Asociaţia Medicală Teritorială Botanica</t>
  </si>
  <si>
    <t>69</t>
  </si>
  <si>
    <t>I.M.S.P. Asociaţia Medicală Teritorială Buiucani</t>
  </si>
  <si>
    <t>70</t>
  </si>
  <si>
    <t>I.M.S.P. Asociaţia Medicală Teritorială Centru</t>
  </si>
  <si>
    <t>71</t>
  </si>
  <si>
    <t>I.M.S.P. Asociaţia Medicală Teritorială Ciocana</t>
  </si>
  <si>
    <t>72</t>
  </si>
  <si>
    <t>I.M.S.P. Asociaţia Medicală Teritorială Râşcani</t>
  </si>
  <si>
    <t>73</t>
  </si>
  <si>
    <t>ÎM Centrul stomatologic Municipal</t>
  </si>
  <si>
    <t>TOTAL    I.M.S.P</t>
  </si>
  <si>
    <t>TOTAL  Î.M. și I.M.S.P</t>
  </si>
  <si>
    <t>Profit brut</t>
  </si>
  <si>
    <t>Costul vînzărilor</t>
  </si>
  <si>
    <t xml:space="preserve">Total rezultat din activ operationala </t>
  </si>
  <si>
    <t>Cheltuieli activ operationala</t>
  </si>
  <si>
    <t xml:space="preserve"> Alte venituri  din activitate opertională</t>
  </si>
  <si>
    <t>16=15-14</t>
  </si>
  <si>
    <t>17=15/14</t>
  </si>
  <si>
    <t>20=19-18</t>
  </si>
  <si>
    <t>21=19/18</t>
  </si>
  <si>
    <t>24=23-22</t>
  </si>
  <si>
    <t>25=23/22</t>
  </si>
  <si>
    <t>28=27-26</t>
  </si>
  <si>
    <t>29=27/26</t>
  </si>
  <si>
    <t>+/-,       mii lei</t>
  </si>
  <si>
    <t>+/-,      mii lei</t>
  </si>
  <si>
    <t>+/-,        mii lei</t>
  </si>
  <si>
    <t>+/-,                mii lei</t>
  </si>
  <si>
    <t>privind privind veniturile din vînzări, profitul net (pierderea netă) a întreprinderilor municipale</t>
  </si>
  <si>
    <t>Rentabilitatea veniturilor din vânzări</t>
  </si>
  <si>
    <t>Anexa nr. 4</t>
  </si>
  <si>
    <t>Î.M. „STI”</t>
  </si>
  <si>
    <t>+/-,                   mii lei</t>
  </si>
  <si>
    <t>Dividende  anul 2015</t>
  </si>
  <si>
    <t>Dividende  anul 2016</t>
  </si>
  <si>
    <t>calculat conform deciziei CMC (30%)</t>
  </si>
  <si>
    <t>achitat în anul 2016</t>
  </si>
  <si>
    <t xml:space="preserve">achitat în anul 2017                 </t>
  </si>
  <si>
    <t xml:space="preserve"> Total </t>
  </si>
  <si>
    <t xml:space="preserve"> Total Î.M. </t>
  </si>
  <si>
    <t>4=2*30%</t>
  </si>
  <si>
    <t xml:space="preserve">anul 2015,      </t>
  </si>
  <si>
    <t xml:space="preserve">anul 2016,     </t>
  </si>
  <si>
    <t>( mii lei)</t>
  </si>
  <si>
    <t xml:space="preserve"> privind  devidendele calculate și achitate</t>
  </si>
  <si>
    <t xml:space="preserve"> capitalizare</t>
  </si>
  <si>
    <t>capitalizare</t>
  </si>
  <si>
    <t>Total IMGFL si ÎMSL</t>
  </si>
  <si>
    <t>cerere capitalizare</t>
  </si>
  <si>
    <t xml:space="preserve"> privind veniturile din vînzări, profitul net (pierderea netă) ale întreprinderilor municipale și instituțiilor medico-sanitare publice</t>
  </si>
  <si>
    <t xml:space="preserve">Venituri din vînzări </t>
  </si>
  <si>
    <t xml:space="preserve">Profit net/pierdere netă  </t>
  </si>
  <si>
    <t xml:space="preserve">anul 2017,     mii lei  </t>
  </si>
  <si>
    <t xml:space="preserve">anul 2017,     mii lei   </t>
  </si>
  <si>
    <t>TOTAL    servicii medicale</t>
  </si>
  <si>
    <t xml:space="preserve">Șef   adjunct al Direcției </t>
  </si>
  <si>
    <t xml:space="preserve">anul 2018,     mii lei  </t>
  </si>
  <si>
    <t xml:space="preserve">anul 2018,     mii lei   </t>
  </si>
  <si>
    <t xml:space="preserve">Rentabilitatea veniturilor din vânzări anul 2018, % </t>
  </si>
  <si>
    <t>Direcția Parcurilor Cultură și odihnă</t>
  </si>
  <si>
    <t>Olesea Pșenițchi</t>
  </si>
  <si>
    <t>S. Berzoi, 022223699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</si>
</sst>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/>
    <xf numFmtId="49" fontId="4" fillId="2" borderId="16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12" xfId="0" applyFont="1" applyBorder="1"/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/>
    <xf numFmtId="165" fontId="4" fillId="2" borderId="14" xfId="0" applyNumberFormat="1" applyFont="1" applyFill="1" applyBorder="1"/>
    <xf numFmtId="0" fontId="6" fillId="0" borderId="14" xfId="0" applyFont="1" applyBorder="1"/>
    <xf numFmtId="165" fontId="6" fillId="0" borderId="16" xfId="0" applyNumberFormat="1" applyFont="1" applyBorder="1"/>
    <xf numFmtId="165" fontId="6" fillId="0" borderId="14" xfId="0" applyNumberFormat="1" applyFont="1" applyBorder="1"/>
    <xf numFmtId="49" fontId="4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/>
    <xf numFmtId="165" fontId="4" fillId="2" borderId="17" xfId="0" applyNumberFormat="1" applyFont="1" applyFill="1" applyBorder="1"/>
    <xf numFmtId="0" fontId="6" fillId="0" borderId="17" xfId="0" applyFont="1" applyBorder="1"/>
    <xf numFmtId="165" fontId="6" fillId="0" borderId="18" xfId="0" applyNumberFormat="1" applyFont="1" applyBorder="1"/>
    <xf numFmtId="165" fontId="6" fillId="0" borderId="17" xfId="0" applyNumberFormat="1" applyFont="1" applyBorder="1"/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/>
    <xf numFmtId="165" fontId="4" fillId="2" borderId="15" xfId="0" applyNumberFormat="1" applyFont="1" applyFill="1" applyBorder="1"/>
    <xf numFmtId="0" fontId="6" fillId="0" borderId="15" xfId="0" applyFont="1" applyBorder="1"/>
    <xf numFmtId="165" fontId="6" fillId="0" borderId="13" xfId="0" applyNumberFormat="1" applyFont="1" applyBorder="1"/>
    <xf numFmtId="165" fontId="6" fillId="0" borderId="15" xfId="0" applyNumberFormat="1" applyFont="1" applyBorder="1"/>
    <xf numFmtId="165" fontId="4" fillId="0" borderId="14" xfId="0" applyNumberFormat="1" applyFont="1" applyBorder="1"/>
    <xf numFmtId="0" fontId="4" fillId="0" borderId="14" xfId="0" applyFont="1" applyBorder="1"/>
    <xf numFmtId="0" fontId="4" fillId="2" borderId="14" xfId="0" quotePrefix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6" fontId="4" fillId="2" borderId="14" xfId="1" applyNumberFormat="1" applyFont="1" applyFill="1" applyBorder="1" applyAlignment="1"/>
    <xf numFmtId="49" fontId="4" fillId="2" borderId="22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166" fontId="4" fillId="2" borderId="17" xfId="1" applyNumberFormat="1" applyFont="1" applyFill="1" applyBorder="1" applyAlignment="1"/>
    <xf numFmtId="0" fontId="6" fillId="0" borderId="0" xfId="0" applyFont="1"/>
    <xf numFmtId="0" fontId="3" fillId="0" borderId="0" xfId="0" applyFont="1"/>
    <xf numFmtId="0" fontId="3" fillId="0" borderId="15" xfId="0" applyFont="1" applyBorder="1"/>
    <xf numFmtId="0" fontId="3" fillId="0" borderId="13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165" fontId="8" fillId="0" borderId="19" xfId="0" applyNumberFormat="1" applyFont="1" applyBorder="1" applyAlignment="1">
      <alignment vertical="center"/>
    </xf>
    <xf numFmtId="0" fontId="2" fillId="2" borderId="19" xfId="0" applyFont="1" applyFill="1" applyBorder="1" applyAlignment="1">
      <alignment horizontal="right" vertical="center"/>
    </xf>
    <xf numFmtId="0" fontId="8" fillId="0" borderId="25" xfId="0" applyFont="1" applyBorder="1" applyAlignment="1">
      <alignment vertical="center"/>
    </xf>
    <xf numFmtId="165" fontId="8" fillId="0" borderId="20" xfId="0" applyNumberFormat="1" applyFont="1" applyBorder="1" applyAlignment="1">
      <alignment vertical="center"/>
    </xf>
    <xf numFmtId="165" fontId="8" fillId="0" borderId="2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2" fillId="2" borderId="20" xfId="0" applyNumberFormat="1" applyFont="1" applyFill="1" applyBorder="1"/>
    <xf numFmtId="165" fontId="2" fillId="2" borderId="19" xfId="0" applyNumberFormat="1" applyFont="1" applyFill="1" applyBorder="1"/>
    <xf numFmtId="165" fontId="2" fillId="2" borderId="25" xfId="0" applyNumberFormat="1" applyFont="1" applyFill="1" applyBorder="1"/>
    <xf numFmtId="0" fontId="8" fillId="0" borderId="20" xfId="0" applyFont="1" applyBorder="1"/>
    <xf numFmtId="165" fontId="8" fillId="0" borderId="19" xfId="0" applyNumberFormat="1" applyFont="1" applyBorder="1"/>
    <xf numFmtId="165" fontId="8" fillId="0" borderId="20" xfId="0" applyNumberFormat="1" applyFont="1" applyBorder="1"/>
    <xf numFmtId="0" fontId="8" fillId="0" borderId="0" xfId="0" applyFont="1"/>
    <xf numFmtId="0" fontId="2" fillId="2" borderId="25" xfId="0" applyFont="1" applyFill="1" applyBorder="1"/>
    <xf numFmtId="165" fontId="2" fillId="2" borderId="19" xfId="0" applyNumberFormat="1" applyFont="1" applyFill="1" applyBorder="1" applyAlignment="1">
      <alignment horizontal="right" vertical="center"/>
    </xf>
    <xf numFmtId="165" fontId="2" fillId="2" borderId="25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8" fillId="0" borderId="21" xfId="0" applyNumberFormat="1" applyFont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6" fontId="2" fillId="2" borderId="20" xfId="1" applyNumberFormat="1" applyFont="1" applyFill="1" applyBorder="1" applyAlignment="1">
      <alignment vertical="center"/>
    </xf>
    <xf numFmtId="166" fontId="4" fillId="2" borderId="15" xfId="1" applyNumberFormat="1" applyFont="1" applyFill="1" applyBorder="1" applyAlignment="1"/>
    <xf numFmtId="0" fontId="6" fillId="0" borderId="11" xfId="0" applyFont="1" applyBorder="1"/>
    <xf numFmtId="0" fontId="4" fillId="2" borderId="11" xfId="0" applyFont="1" applyFill="1" applyBorder="1"/>
    <xf numFmtId="165" fontId="4" fillId="2" borderId="11" xfId="0" applyNumberFormat="1" applyFont="1" applyFill="1" applyBorder="1"/>
    <xf numFmtId="166" fontId="4" fillId="2" borderId="11" xfId="1" applyNumberFormat="1" applyFont="1" applyFill="1" applyBorder="1" applyAlignment="1"/>
    <xf numFmtId="165" fontId="2" fillId="2" borderId="2" xfId="0" applyNumberFormat="1" applyFont="1" applyFill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49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3" fillId="0" borderId="14" xfId="0" applyFont="1" applyBorder="1"/>
    <xf numFmtId="0" fontId="7" fillId="0" borderId="8" xfId="0" applyFont="1" applyBorder="1" applyAlignment="1">
      <alignment horizontal="center" vertical="center"/>
    </xf>
    <xf numFmtId="165" fontId="3" fillId="0" borderId="14" xfId="0" applyNumberFormat="1" applyFont="1" applyBorder="1"/>
    <xf numFmtId="165" fontId="3" fillId="0" borderId="17" xfId="0" applyNumberFormat="1" applyFont="1" applyBorder="1"/>
    <xf numFmtId="165" fontId="3" fillId="0" borderId="15" xfId="0" applyNumberFormat="1" applyFont="1" applyBorder="1"/>
    <xf numFmtId="165" fontId="7" fillId="0" borderId="8" xfId="0" applyNumberFormat="1" applyFont="1" applyBorder="1"/>
    <xf numFmtId="165" fontId="7" fillId="0" borderId="6" xfId="0" applyNumberFormat="1" applyFont="1" applyBorder="1"/>
    <xf numFmtId="0" fontId="13" fillId="0" borderId="8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165" fontId="14" fillId="0" borderId="14" xfId="0" applyNumberFormat="1" applyFont="1" applyFill="1" applyBorder="1"/>
    <xf numFmtId="0" fontId="11" fillId="0" borderId="0" xfId="0" applyFont="1" applyFill="1"/>
    <xf numFmtId="165" fontId="15" fillId="0" borderId="14" xfId="0" applyNumberFormat="1" applyFont="1" applyFill="1" applyBorder="1"/>
    <xf numFmtId="0" fontId="18" fillId="0" borderId="0" xfId="0" applyFont="1"/>
    <xf numFmtId="165" fontId="14" fillId="0" borderId="35" xfId="0" applyNumberFormat="1" applyFont="1" applyFill="1" applyBorder="1"/>
    <xf numFmtId="49" fontId="10" fillId="2" borderId="16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lef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Fill="1" applyBorder="1"/>
    <xf numFmtId="165" fontId="15" fillId="0" borderId="41" xfId="0" applyNumberFormat="1" applyFont="1" applyFill="1" applyBorder="1"/>
    <xf numFmtId="165" fontId="14" fillId="0" borderId="16" xfId="1" applyNumberFormat="1" applyFont="1" applyFill="1" applyBorder="1" applyAlignment="1">
      <alignment horizontal="right" vertical="distributed"/>
    </xf>
    <xf numFmtId="49" fontId="1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14" xfId="0" applyFont="1" applyBorder="1"/>
    <xf numFmtId="0" fontId="13" fillId="0" borderId="14" xfId="0" applyFont="1" applyBorder="1" applyAlignment="1">
      <alignment vertical="center"/>
    </xf>
    <xf numFmtId="0" fontId="11" fillId="0" borderId="15" xfId="0" applyFont="1" applyBorder="1"/>
    <xf numFmtId="165" fontId="10" fillId="2" borderId="13" xfId="0" applyNumberFormat="1" applyFont="1" applyFill="1" applyBorder="1"/>
    <xf numFmtId="165" fontId="10" fillId="2" borderId="16" xfId="0" applyNumberFormat="1" applyFont="1" applyFill="1" applyBorder="1"/>
    <xf numFmtId="165" fontId="10" fillId="0" borderId="16" xfId="0" applyNumberFormat="1" applyFont="1" applyBorder="1"/>
    <xf numFmtId="165" fontId="10" fillId="0" borderId="16" xfId="0" applyNumberFormat="1" applyFont="1" applyFill="1" applyBorder="1"/>
    <xf numFmtId="165" fontId="11" fillId="0" borderId="14" xfId="0" applyNumberFormat="1" applyFont="1" applyBorder="1"/>
    <xf numFmtId="165" fontId="11" fillId="0" borderId="17" xfId="0" applyNumberFormat="1" applyFont="1" applyBorder="1"/>
    <xf numFmtId="165" fontId="11" fillId="0" borderId="14" xfId="0" applyNumberFormat="1" applyFont="1" applyFill="1" applyBorder="1"/>
    <xf numFmtId="165" fontId="10" fillId="2" borderId="29" xfId="0" applyNumberFormat="1" applyFont="1" applyFill="1" applyBorder="1"/>
    <xf numFmtId="165" fontId="10" fillId="2" borderId="28" xfId="0" applyNumberFormat="1" applyFont="1" applyFill="1" applyBorder="1"/>
    <xf numFmtId="165" fontId="10" fillId="0" borderId="28" xfId="0" applyNumberFormat="1" applyFont="1" applyBorder="1"/>
    <xf numFmtId="165" fontId="10" fillId="0" borderId="28" xfId="0" applyNumberFormat="1" applyFont="1" applyFill="1" applyBorder="1"/>
    <xf numFmtId="165" fontId="11" fillId="0" borderId="28" xfId="0" applyNumberFormat="1" applyFont="1" applyBorder="1"/>
    <xf numFmtId="0" fontId="12" fillId="0" borderId="45" xfId="0" applyFont="1" applyBorder="1" applyAlignment="1">
      <alignment horizontal="center" vertical="center"/>
    </xf>
    <xf numFmtId="165" fontId="11" fillId="0" borderId="15" xfId="0" applyNumberFormat="1" applyFont="1" applyBorder="1"/>
    <xf numFmtId="0" fontId="13" fillId="0" borderId="47" xfId="0" applyFont="1" applyBorder="1" applyAlignment="1">
      <alignment horizontal="center" vertical="center"/>
    </xf>
    <xf numFmtId="0" fontId="13" fillId="0" borderId="8" xfId="0" applyFont="1" applyBorder="1" applyAlignment="1">
      <alignment wrapText="1"/>
    </xf>
    <xf numFmtId="0" fontId="10" fillId="0" borderId="10" xfId="0" applyFont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43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left" vertical="center" wrapText="1"/>
    </xf>
    <xf numFmtId="49" fontId="10" fillId="2" borderId="39" xfId="0" applyNumberFormat="1" applyFont="1" applyFill="1" applyBorder="1" applyAlignment="1">
      <alignment horizontal="left" vertical="center" wrapText="1"/>
    </xf>
    <xf numFmtId="165" fontId="11" fillId="0" borderId="34" xfId="0" applyNumberFormat="1" applyFont="1" applyBorder="1"/>
    <xf numFmtId="165" fontId="11" fillId="0" borderId="16" xfId="0" applyNumberFormat="1" applyFont="1" applyBorder="1"/>
    <xf numFmtId="49" fontId="10" fillId="2" borderId="27" xfId="0" applyNumberFormat="1" applyFont="1" applyFill="1" applyBorder="1" applyAlignment="1">
      <alignment horizontal="left" vertical="center" wrapText="1"/>
    </xf>
    <xf numFmtId="165" fontId="11" fillId="0" borderId="36" xfId="0" applyNumberFormat="1" applyFont="1" applyBorder="1"/>
    <xf numFmtId="165" fontId="11" fillId="0" borderId="42" xfId="0" applyNumberFormat="1" applyFont="1" applyBorder="1"/>
    <xf numFmtId="165" fontId="12" fillId="2" borderId="8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3" fillId="0" borderId="19" xfId="0" applyNumberFormat="1" applyFont="1" applyBorder="1"/>
    <xf numFmtId="165" fontId="13" fillId="0" borderId="2" xfId="0" applyNumberFormat="1" applyFont="1" applyBorder="1"/>
    <xf numFmtId="165" fontId="13" fillId="0" borderId="25" xfId="0" applyNumberFormat="1" applyFont="1" applyBorder="1"/>
    <xf numFmtId="165" fontId="13" fillId="0" borderId="21" xfId="0" applyNumberFormat="1" applyFont="1" applyBorder="1"/>
    <xf numFmtId="165" fontId="13" fillId="0" borderId="20" xfId="0" applyNumberFormat="1" applyFont="1" applyBorder="1"/>
    <xf numFmtId="165" fontId="11" fillId="0" borderId="14" xfId="0" applyNumberFormat="1" applyFont="1" applyFill="1" applyBorder="1" applyAlignment="1">
      <alignment wrapText="1"/>
    </xf>
    <xf numFmtId="0" fontId="10" fillId="0" borderId="0" xfId="0" applyFont="1" applyFill="1"/>
    <xf numFmtId="0" fontId="14" fillId="0" borderId="0" xfId="0" applyFont="1" applyFill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left" vertical="center" wrapText="1"/>
    </xf>
    <xf numFmtId="165" fontId="14" fillId="0" borderId="30" xfId="0" applyNumberFormat="1" applyFont="1" applyFill="1" applyBorder="1"/>
    <xf numFmtId="165" fontId="14" fillId="0" borderId="31" xfId="0" applyNumberFormat="1" applyFont="1" applyFill="1" applyBorder="1"/>
    <xf numFmtId="165" fontId="15" fillId="0" borderId="26" xfId="0" applyNumberFormat="1" applyFont="1" applyFill="1" applyBorder="1"/>
    <xf numFmtId="49" fontId="10" fillId="0" borderId="18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left" vertical="center" wrapText="1"/>
    </xf>
    <xf numFmtId="165" fontId="14" fillId="0" borderId="17" xfId="0" applyNumberFormat="1" applyFont="1" applyFill="1" applyBorder="1"/>
    <xf numFmtId="165" fontId="14" fillId="0" borderId="32" xfId="0" applyNumberFormat="1" applyFont="1" applyFill="1" applyBorder="1"/>
    <xf numFmtId="165" fontId="15" fillId="0" borderId="0" xfId="0" applyNumberFormat="1" applyFont="1" applyFill="1"/>
    <xf numFmtId="165" fontId="14" fillId="0" borderId="18" xfId="0" applyNumberFormat="1" applyFont="1" applyFill="1" applyBorder="1"/>
    <xf numFmtId="165" fontId="15" fillId="0" borderId="24" xfId="0" applyNumberFormat="1" applyFont="1" applyFill="1" applyBorder="1"/>
    <xf numFmtId="165" fontId="16" fillId="0" borderId="20" xfId="0" applyNumberFormat="1" applyFont="1" applyFill="1" applyBorder="1" applyAlignment="1">
      <alignment horizontal="right" vertical="center"/>
    </xf>
    <xf numFmtId="165" fontId="16" fillId="0" borderId="20" xfId="0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5" fontId="16" fillId="0" borderId="19" xfId="0" applyNumberFormat="1" applyFont="1" applyFill="1" applyBorder="1" applyAlignment="1">
      <alignment vertical="center"/>
    </xf>
    <xf numFmtId="165" fontId="17" fillId="0" borderId="8" xfId="0" applyNumberFormat="1" applyFont="1" applyFill="1" applyBorder="1"/>
    <xf numFmtId="0" fontId="11" fillId="0" borderId="0" xfId="0" applyFont="1" applyFill="1" applyAlignment="1">
      <alignment vertical="center"/>
    </xf>
    <xf numFmtId="165" fontId="14" fillId="0" borderId="15" xfId="0" applyNumberFormat="1" applyFont="1" applyFill="1" applyBorder="1"/>
    <xf numFmtId="165" fontId="14" fillId="0" borderId="33" xfId="0" applyNumberFormat="1" applyFont="1" applyFill="1" applyBorder="1"/>
    <xf numFmtId="165" fontId="14" fillId="0" borderId="13" xfId="0" applyNumberFormat="1" applyFont="1" applyFill="1" applyBorder="1"/>
    <xf numFmtId="165" fontId="18" fillId="0" borderId="14" xfId="0" applyNumberFormat="1" applyFont="1" applyFill="1" applyBorder="1"/>
    <xf numFmtId="0" fontId="13" fillId="0" borderId="0" xfId="0" applyFont="1" applyFill="1"/>
    <xf numFmtId="165" fontId="15" fillId="0" borderId="17" xfId="0" applyNumberFormat="1" applyFont="1" applyFill="1" applyBorder="1"/>
    <xf numFmtId="165" fontId="16" fillId="0" borderId="19" xfId="0" applyNumberFormat="1" applyFont="1" applyFill="1" applyBorder="1"/>
    <xf numFmtId="165" fontId="16" fillId="0" borderId="25" xfId="0" applyNumberFormat="1" applyFont="1" applyFill="1" applyBorder="1"/>
    <xf numFmtId="165" fontId="16" fillId="0" borderId="23" xfId="0" applyNumberFormat="1" applyFont="1" applyFill="1" applyBorder="1"/>
    <xf numFmtId="165" fontId="16" fillId="0" borderId="20" xfId="0" applyNumberFormat="1" applyFont="1" applyFill="1" applyBorder="1"/>
    <xf numFmtId="165" fontId="15" fillId="0" borderId="15" xfId="0" applyNumberFormat="1" applyFont="1" applyFill="1" applyBorder="1"/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left" vertical="center" wrapText="1"/>
    </xf>
    <xf numFmtId="165" fontId="21" fillId="0" borderId="48" xfId="0" applyNumberFormat="1" applyFont="1" applyFill="1" applyBorder="1"/>
    <xf numFmtId="165" fontId="16" fillId="0" borderId="3" xfId="0" applyNumberFormat="1" applyFont="1" applyFill="1" applyBorder="1" applyAlignment="1">
      <alignment vertical="center"/>
    </xf>
    <xf numFmtId="165" fontId="16" fillId="0" borderId="25" xfId="0" applyNumberFormat="1" applyFont="1" applyFill="1" applyBorder="1" applyAlignment="1">
      <alignment vertical="center"/>
    </xf>
    <xf numFmtId="165" fontId="17" fillId="0" borderId="6" xfId="0" applyNumberFormat="1" applyFont="1" applyFill="1" applyBorder="1"/>
    <xf numFmtId="0" fontId="13" fillId="0" borderId="0" xfId="0" applyFont="1" applyFill="1" applyAlignment="1">
      <alignment vertical="center"/>
    </xf>
    <xf numFmtId="49" fontId="14" fillId="0" borderId="6" xfId="0" applyNumberFormat="1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distributed"/>
    </xf>
    <xf numFmtId="165" fontId="14" fillId="0" borderId="18" xfId="1" applyNumberFormat="1" applyFont="1" applyFill="1" applyBorder="1" applyAlignment="1">
      <alignment horizontal="right" vertical="distributed"/>
    </xf>
    <xf numFmtId="165" fontId="15" fillId="0" borderId="37" xfId="0" applyNumberFormat="1" applyFont="1" applyFill="1" applyBorder="1"/>
    <xf numFmtId="165" fontId="14" fillId="0" borderId="37" xfId="0" applyNumberFormat="1" applyFont="1" applyFill="1" applyBorder="1"/>
    <xf numFmtId="165" fontId="14" fillId="0" borderId="38" xfId="0" applyNumberFormat="1" applyFont="1" applyFill="1" applyBorder="1"/>
    <xf numFmtId="165" fontId="16" fillId="0" borderId="8" xfId="0" applyNumberFormat="1" applyFont="1" applyFill="1" applyBorder="1" applyAlignment="1">
      <alignment vertical="center"/>
    </xf>
    <xf numFmtId="165" fontId="16" fillId="0" borderId="19" xfId="1" applyNumberFormat="1" applyFont="1" applyFill="1" applyBorder="1" applyAlignment="1">
      <alignment horizontal="right" vertical="distributed"/>
    </xf>
    <xf numFmtId="49" fontId="14" fillId="0" borderId="7" xfId="0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/>
    <xf numFmtId="165" fontId="14" fillId="0" borderId="11" xfId="0" applyNumberFormat="1" applyFont="1" applyFill="1" applyBorder="1"/>
    <xf numFmtId="165" fontId="16" fillId="0" borderId="2" xfId="0" applyNumberFormat="1" applyFont="1" applyFill="1" applyBorder="1" applyAlignment="1">
      <alignment horizontal="right" vertical="distributed"/>
    </xf>
    <xf numFmtId="165" fontId="16" fillId="0" borderId="7" xfId="0" applyNumberFormat="1" applyFont="1" applyFill="1" applyBorder="1" applyAlignment="1">
      <alignment vertical="center"/>
    </xf>
    <xf numFmtId="0" fontId="18" fillId="0" borderId="0" xfId="0" applyFont="1" applyFill="1"/>
    <xf numFmtId="0" fontId="15" fillId="0" borderId="0" xfId="0" applyFont="1" applyFill="1"/>
    <xf numFmtId="49" fontId="14" fillId="0" borderId="41" xfId="0" applyNumberFormat="1" applyFont="1" applyFill="1" applyBorder="1" applyAlignment="1">
      <alignment horizontal="left" vertical="center" wrapText="1"/>
    </xf>
    <xf numFmtId="165" fontId="14" fillId="0" borderId="13" xfId="1" applyNumberFormat="1" applyFont="1" applyFill="1" applyBorder="1" applyAlignment="1">
      <alignment horizontal="right" vertical="distributed"/>
    </xf>
    <xf numFmtId="165" fontId="14" fillId="0" borderId="16" xfId="1" applyNumberFormat="1" applyFont="1" applyFill="1" applyBorder="1" applyAlignment="1">
      <alignment horizontal="right"/>
    </xf>
    <xf numFmtId="165" fontId="15" fillId="0" borderId="0" xfId="0" applyNumberFormat="1" applyFont="1"/>
    <xf numFmtId="165" fontId="15" fillId="0" borderId="48" xfId="0" applyNumberFormat="1" applyFont="1" applyFill="1" applyBorder="1"/>
    <xf numFmtId="49" fontId="14" fillId="0" borderId="49" xfId="0" applyNumberFormat="1" applyFont="1" applyFill="1" applyBorder="1" applyAlignment="1">
      <alignment horizontal="left" vertical="center" wrapText="1"/>
    </xf>
    <xf numFmtId="165" fontId="16" fillId="0" borderId="50" xfId="0" applyNumberFormat="1" applyFont="1" applyFill="1" applyBorder="1" applyAlignment="1">
      <alignment horizontal="right" vertical="center"/>
    </xf>
    <xf numFmtId="165" fontId="16" fillId="0" borderId="50" xfId="0" applyNumberFormat="1" applyFont="1" applyFill="1" applyBorder="1" applyAlignment="1">
      <alignment vertical="center"/>
    </xf>
    <xf numFmtId="165" fontId="16" fillId="0" borderId="51" xfId="0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>
      <alignment vertical="center"/>
    </xf>
    <xf numFmtId="49" fontId="14" fillId="0" borderId="52" xfId="0" applyNumberFormat="1" applyFont="1" applyFill="1" applyBorder="1" applyAlignment="1">
      <alignment horizontal="left" vertical="center" wrapText="1"/>
    </xf>
    <xf numFmtId="165" fontId="17" fillId="0" borderId="7" xfId="0" applyNumberFormat="1" applyFont="1" applyFill="1" applyBorder="1"/>
    <xf numFmtId="165" fontId="16" fillId="0" borderId="19" xfId="0" applyNumberFormat="1" applyFont="1" applyFill="1" applyBorder="1" applyAlignment="1">
      <alignment horizontal="right" vertical="center"/>
    </xf>
    <xf numFmtId="165" fontId="16" fillId="0" borderId="21" xfId="0" applyNumberFormat="1" applyFont="1" applyFill="1" applyBorder="1" applyAlignment="1">
      <alignment horizontal="right" vertical="center"/>
    </xf>
    <xf numFmtId="0" fontId="22" fillId="0" borderId="0" xfId="0" applyFont="1" applyFill="1"/>
    <xf numFmtId="165" fontId="10" fillId="0" borderId="0" xfId="0" applyNumberFormat="1" applyFont="1" applyFill="1"/>
    <xf numFmtId="165" fontId="11" fillId="0" borderId="0" xfId="0" applyNumberFormat="1" applyFont="1" applyFill="1"/>
    <xf numFmtId="0" fontId="12" fillId="0" borderId="0" xfId="0" applyFont="1" applyAlignment="1">
      <alignment horizontal="center"/>
    </xf>
    <xf numFmtId="49" fontId="12" fillId="2" borderId="2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46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distributed"/>
    </xf>
    <xf numFmtId="0" fontId="7" fillId="0" borderId="27" xfId="0" applyFont="1" applyFill="1" applyBorder="1" applyAlignment="1">
      <alignment horizontal="center" vertical="distributed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="75" zoomScaleNormal="75" zoomScaleSheetLayoutView="71" workbookViewId="0">
      <selection activeCell="H11" sqref="H11"/>
    </sheetView>
  </sheetViews>
  <sheetFormatPr defaultRowHeight="20.25"/>
  <cols>
    <col min="1" max="1" width="5.140625" style="100" customWidth="1"/>
    <col min="2" max="2" width="54.140625" style="115" customWidth="1"/>
    <col min="3" max="3" width="17.28515625" style="100" customWidth="1"/>
    <col min="4" max="4" width="16.85546875" style="100" customWidth="1"/>
    <col min="5" max="5" width="19" style="100" customWidth="1"/>
    <col min="6" max="6" width="14.42578125" style="100" customWidth="1"/>
    <col min="7" max="7" width="19.85546875" style="100" customWidth="1"/>
    <col min="8" max="8" width="13.5703125" style="100" customWidth="1"/>
    <col min="9" max="220" width="9.140625" style="100"/>
    <col min="221" max="221" width="5.140625" style="100" customWidth="1"/>
    <col min="222" max="222" width="9.140625" style="100"/>
    <col min="223" max="223" width="25.5703125" style="100" customWidth="1"/>
    <col min="224" max="225" width="13.5703125" style="100" customWidth="1"/>
    <col min="226" max="226" width="13.85546875" style="100" customWidth="1"/>
    <col min="227" max="230" width="14.85546875" style="100" customWidth="1"/>
    <col min="231" max="232" width="14.28515625" style="100" customWidth="1"/>
    <col min="233" max="476" width="9.140625" style="100"/>
    <col min="477" max="477" width="5.140625" style="100" customWidth="1"/>
    <col min="478" max="478" width="9.140625" style="100"/>
    <col min="479" max="479" width="25.5703125" style="100" customWidth="1"/>
    <col min="480" max="481" width="13.5703125" style="100" customWidth="1"/>
    <col min="482" max="482" width="13.85546875" style="100" customWidth="1"/>
    <col min="483" max="486" width="14.85546875" style="100" customWidth="1"/>
    <col min="487" max="488" width="14.28515625" style="100" customWidth="1"/>
    <col min="489" max="732" width="9.140625" style="100"/>
    <col min="733" max="733" width="5.140625" style="100" customWidth="1"/>
    <col min="734" max="734" width="9.140625" style="100"/>
    <col min="735" max="735" width="25.5703125" style="100" customWidth="1"/>
    <col min="736" max="737" width="13.5703125" style="100" customWidth="1"/>
    <col min="738" max="738" width="13.85546875" style="100" customWidth="1"/>
    <col min="739" max="742" width="14.85546875" style="100" customWidth="1"/>
    <col min="743" max="744" width="14.28515625" style="100" customWidth="1"/>
    <col min="745" max="988" width="9.140625" style="100"/>
    <col min="989" max="989" width="5.140625" style="100" customWidth="1"/>
    <col min="990" max="990" width="9.140625" style="100"/>
    <col min="991" max="991" width="25.5703125" style="100" customWidth="1"/>
    <col min="992" max="993" width="13.5703125" style="100" customWidth="1"/>
    <col min="994" max="994" width="13.85546875" style="100" customWidth="1"/>
    <col min="995" max="998" width="14.85546875" style="100" customWidth="1"/>
    <col min="999" max="1000" width="14.28515625" style="100" customWidth="1"/>
    <col min="1001" max="1244" width="9.140625" style="100"/>
    <col min="1245" max="1245" width="5.140625" style="100" customWidth="1"/>
    <col min="1246" max="1246" width="9.140625" style="100"/>
    <col min="1247" max="1247" width="25.5703125" style="100" customWidth="1"/>
    <col min="1248" max="1249" width="13.5703125" style="100" customWidth="1"/>
    <col min="1250" max="1250" width="13.85546875" style="100" customWidth="1"/>
    <col min="1251" max="1254" width="14.85546875" style="100" customWidth="1"/>
    <col min="1255" max="1256" width="14.28515625" style="100" customWidth="1"/>
    <col min="1257" max="1500" width="9.140625" style="100"/>
    <col min="1501" max="1501" width="5.140625" style="100" customWidth="1"/>
    <col min="1502" max="1502" width="9.140625" style="100"/>
    <col min="1503" max="1503" width="25.5703125" style="100" customWidth="1"/>
    <col min="1504" max="1505" width="13.5703125" style="100" customWidth="1"/>
    <col min="1506" max="1506" width="13.85546875" style="100" customWidth="1"/>
    <col min="1507" max="1510" width="14.85546875" style="100" customWidth="1"/>
    <col min="1511" max="1512" width="14.28515625" style="100" customWidth="1"/>
    <col min="1513" max="1756" width="9.140625" style="100"/>
    <col min="1757" max="1757" width="5.140625" style="100" customWidth="1"/>
    <col min="1758" max="1758" width="9.140625" style="100"/>
    <col min="1759" max="1759" width="25.5703125" style="100" customWidth="1"/>
    <col min="1760" max="1761" width="13.5703125" style="100" customWidth="1"/>
    <col min="1762" max="1762" width="13.85546875" style="100" customWidth="1"/>
    <col min="1763" max="1766" width="14.85546875" style="100" customWidth="1"/>
    <col min="1767" max="1768" width="14.28515625" style="100" customWidth="1"/>
    <col min="1769" max="2012" width="9.140625" style="100"/>
    <col min="2013" max="2013" width="5.140625" style="100" customWidth="1"/>
    <col min="2014" max="2014" width="9.140625" style="100"/>
    <col min="2015" max="2015" width="25.5703125" style="100" customWidth="1"/>
    <col min="2016" max="2017" width="13.5703125" style="100" customWidth="1"/>
    <col min="2018" max="2018" width="13.85546875" style="100" customWidth="1"/>
    <col min="2019" max="2022" width="14.85546875" style="100" customWidth="1"/>
    <col min="2023" max="2024" width="14.28515625" style="100" customWidth="1"/>
    <col min="2025" max="2268" width="9.140625" style="100"/>
    <col min="2269" max="2269" width="5.140625" style="100" customWidth="1"/>
    <col min="2270" max="2270" width="9.140625" style="100"/>
    <col min="2271" max="2271" width="25.5703125" style="100" customWidth="1"/>
    <col min="2272" max="2273" width="13.5703125" style="100" customWidth="1"/>
    <col min="2274" max="2274" width="13.85546875" style="100" customWidth="1"/>
    <col min="2275" max="2278" width="14.85546875" style="100" customWidth="1"/>
    <col min="2279" max="2280" width="14.28515625" style="100" customWidth="1"/>
    <col min="2281" max="2524" width="9.140625" style="100"/>
    <col min="2525" max="2525" width="5.140625" style="100" customWidth="1"/>
    <col min="2526" max="2526" width="9.140625" style="100"/>
    <col min="2527" max="2527" width="25.5703125" style="100" customWidth="1"/>
    <col min="2528" max="2529" width="13.5703125" style="100" customWidth="1"/>
    <col min="2530" max="2530" width="13.85546875" style="100" customWidth="1"/>
    <col min="2531" max="2534" width="14.85546875" style="100" customWidth="1"/>
    <col min="2535" max="2536" width="14.28515625" style="100" customWidth="1"/>
    <col min="2537" max="2780" width="9.140625" style="100"/>
    <col min="2781" max="2781" width="5.140625" style="100" customWidth="1"/>
    <col min="2782" max="2782" width="9.140625" style="100"/>
    <col min="2783" max="2783" width="25.5703125" style="100" customWidth="1"/>
    <col min="2784" max="2785" width="13.5703125" style="100" customWidth="1"/>
    <col min="2786" max="2786" width="13.85546875" style="100" customWidth="1"/>
    <col min="2787" max="2790" width="14.85546875" style="100" customWidth="1"/>
    <col min="2791" max="2792" width="14.28515625" style="100" customWidth="1"/>
    <col min="2793" max="3036" width="9.140625" style="100"/>
    <col min="3037" max="3037" width="5.140625" style="100" customWidth="1"/>
    <col min="3038" max="3038" width="9.140625" style="100"/>
    <col min="3039" max="3039" width="25.5703125" style="100" customWidth="1"/>
    <col min="3040" max="3041" width="13.5703125" style="100" customWidth="1"/>
    <col min="3042" max="3042" width="13.85546875" style="100" customWidth="1"/>
    <col min="3043" max="3046" width="14.85546875" style="100" customWidth="1"/>
    <col min="3047" max="3048" width="14.28515625" style="100" customWidth="1"/>
    <col min="3049" max="3292" width="9.140625" style="100"/>
    <col min="3293" max="3293" width="5.140625" style="100" customWidth="1"/>
    <col min="3294" max="3294" width="9.140625" style="100"/>
    <col min="3295" max="3295" width="25.5703125" style="100" customWidth="1"/>
    <col min="3296" max="3297" width="13.5703125" style="100" customWidth="1"/>
    <col min="3298" max="3298" width="13.85546875" style="100" customWidth="1"/>
    <col min="3299" max="3302" width="14.85546875" style="100" customWidth="1"/>
    <col min="3303" max="3304" width="14.28515625" style="100" customWidth="1"/>
    <col min="3305" max="3548" width="9.140625" style="100"/>
    <col min="3549" max="3549" width="5.140625" style="100" customWidth="1"/>
    <col min="3550" max="3550" width="9.140625" style="100"/>
    <col min="3551" max="3551" width="25.5703125" style="100" customWidth="1"/>
    <col min="3552" max="3553" width="13.5703125" style="100" customWidth="1"/>
    <col min="3554" max="3554" width="13.85546875" style="100" customWidth="1"/>
    <col min="3555" max="3558" width="14.85546875" style="100" customWidth="1"/>
    <col min="3559" max="3560" width="14.28515625" style="100" customWidth="1"/>
    <col min="3561" max="3804" width="9.140625" style="100"/>
    <col min="3805" max="3805" width="5.140625" style="100" customWidth="1"/>
    <col min="3806" max="3806" width="9.140625" style="100"/>
    <col min="3807" max="3807" width="25.5703125" style="100" customWidth="1"/>
    <col min="3808" max="3809" width="13.5703125" style="100" customWidth="1"/>
    <col min="3810" max="3810" width="13.85546875" style="100" customWidth="1"/>
    <col min="3811" max="3814" width="14.85546875" style="100" customWidth="1"/>
    <col min="3815" max="3816" width="14.28515625" style="100" customWidth="1"/>
    <col min="3817" max="4060" width="9.140625" style="100"/>
    <col min="4061" max="4061" width="5.140625" style="100" customWidth="1"/>
    <col min="4062" max="4062" width="9.140625" style="100"/>
    <col min="4063" max="4063" width="25.5703125" style="100" customWidth="1"/>
    <col min="4064" max="4065" width="13.5703125" style="100" customWidth="1"/>
    <col min="4066" max="4066" width="13.85546875" style="100" customWidth="1"/>
    <col min="4067" max="4070" width="14.85546875" style="100" customWidth="1"/>
    <col min="4071" max="4072" width="14.28515625" style="100" customWidth="1"/>
    <col min="4073" max="4316" width="9.140625" style="100"/>
    <col min="4317" max="4317" width="5.140625" style="100" customWidth="1"/>
    <col min="4318" max="4318" width="9.140625" style="100"/>
    <col min="4319" max="4319" width="25.5703125" style="100" customWidth="1"/>
    <col min="4320" max="4321" width="13.5703125" style="100" customWidth="1"/>
    <col min="4322" max="4322" width="13.85546875" style="100" customWidth="1"/>
    <col min="4323" max="4326" width="14.85546875" style="100" customWidth="1"/>
    <col min="4327" max="4328" width="14.28515625" style="100" customWidth="1"/>
    <col min="4329" max="4572" width="9.140625" style="100"/>
    <col min="4573" max="4573" width="5.140625" style="100" customWidth="1"/>
    <col min="4574" max="4574" width="9.140625" style="100"/>
    <col min="4575" max="4575" width="25.5703125" style="100" customWidth="1"/>
    <col min="4576" max="4577" width="13.5703125" style="100" customWidth="1"/>
    <col min="4578" max="4578" width="13.85546875" style="100" customWidth="1"/>
    <col min="4579" max="4582" width="14.85546875" style="100" customWidth="1"/>
    <col min="4583" max="4584" width="14.28515625" style="100" customWidth="1"/>
    <col min="4585" max="4828" width="9.140625" style="100"/>
    <col min="4829" max="4829" width="5.140625" style="100" customWidth="1"/>
    <col min="4830" max="4830" width="9.140625" style="100"/>
    <col min="4831" max="4831" width="25.5703125" style="100" customWidth="1"/>
    <col min="4832" max="4833" width="13.5703125" style="100" customWidth="1"/>
    <col min="4834" max="4834" width="13.85546875" style="100" customWidth="1"/>
    <col min="4835" max="4838" width="14.85546875" style="100" customWidth="1"/>
    <col min="4839" max="4840" width="14.28515625" style="100" customWidth="1"/>
    <col min="4841" max="5084" width="9.140625" style="100"/>
    <col min="5085" max="5085" width="5.140625" style="100" customWidth="1"/>
    <col min="5086" max="5086" width="9.140625" style="100"/>
    <col min="5087" max="5087" width="25.5703125" style="100" customWidth="1"/>
    <col min="5088" max="5089" width="13.5703125" style="100" customWidth="1"/>
    <col min="5090" max="5090" width="13.85546875" style="100" customWidth="1"/>
    <col min="5091" max="5094" width="14.85546875" style="100" customWidth="1"/>
    <col min="5095" max="5096" width="14.28515625" style="100" customWidth="1"/>
    <col min="5097" max="5340" width="9.140625" style="100"/>
    <col min="5341" max="5341" width="5.140625" style="100" customWidth="1"/>
    <col min="5342" max="5342" width="9.140625" style="100"/>
    <col min="5343" max="5343" width="25.5703125" style="100" customWidth="1"/>
    <col min="5344" max="5345" width="13.5703125" style="100" customWidth="1"/>
    <col min="5346" max="5346" width="13.85546875" style="100" customWidth="1"/>
    <col min="5347" max="5350" width="14.85546875" style="100" customWidth="1"/>
    <col min="5351" max="5352" width="14.28515625" style="100" customWidth="1"/>
    <col min="5353" max="5596" width="9.140625" style="100"/>
    <col min="5597" max="5597" width="5.140625" style="100" customWidth="1"/>
    <col min="5598" max="5598" width="9.140625" style="100"/>
    <col min="5599" max="5599" width="25.5703125" style="100" customWidth="1"/>
    <col min="5600" max="5601" width="13.5703125" style="100" customWidth="1"/>
    <col min="5602" max="5602" width="13.85546875" style="100" customWidth="1"/>
    <col min="5603" max="5606" width="14.85546875" style="100" customWidth="1"/>
    <col min="5607" max="5608" width="14.28515625" style="100" customWidth="1"/>
    <col min="5609" max="5852" width="9.140625" style="100"/>
    <col min="5853" max="5853" width="5.140625" style="100" customWidth="1"/>
    <col min="5854" max="5854" width="9.140625" style="100"/>
    <col min="5855" max="5855" width="25.5703125" style="100" customWidth="1"/>
    <col min="5856" max="5857" width="13.5703125" style="100" customWidth="1"/>
    <col min="5858" max="5858" width="13.85546875" style="100" customWidth="1"/>
    <col min="5859" max="5862" width="14.85546875" style="100" customWidth="1"/>
    <col min="5863" max="5864" width="14.28515625" style="100" customWidth="1"/>
    <col min="5865" max="6108" width="9.140625" style="100"/>
    <col min="6109" max="6109" width="5.140625" style="100" customWidth="1"/>
    <col min="6110" max="6110" width="9.140625" style="100"/>
    <col min="6111" max="6111" width="25.5703125" style="100" customWidth="1"/>
    <col min="6112" max="6113" width="13.5703125" style="100" customWidth="1"/>
    <col min="6114" max="6114" width="13.85546875" style="100" customWidth="1"/>
    <col min="6115" max="6118" width="14.85546875" style="100" customWidth="1"/>
    <col min="6119" max="6120" width="14.28515625" style="100" customWidth="1"/>
    <col min="6121" max="6364" width="9.140625" style="100"/>
    <col min="6365" max="6365" width="5.140625" style="100" customWidth="1"/>
    <col min="6366" max="6366" width="9.140625" style="100"/>
    <col min="6367" max="6367" width="25.5703125" style="100" customWidth="1"/>
    <col min="6368" max="6369" width="13.5703125" style="100" customWidth="1"/>
    <col min="6370" max="6370" width="13.85546875" style="100" customWidth="1"/>
    <col min="6371" max="6374" width="14.85546875" style="100" customWidth="1"/>
    <col min="6375" max="6376" width="14.28515625" style="100" customWidth="1"/>
    <col min="6377" max="6620" width="9.140625" style="100"/>
    <col min="6621" max="6621" width="5.140625" style="100" customWidth="1"/>
    <col min="6622" max="6622" width="9.140625" style="100"/>
    <col min="6623" max="6623" width="25.5703125" style="100" customWidth="1"/>
    <col min="6624" max="6625" width="13.5703125" style="100" customWidth="1"/>
    <col min="6626" max="6626" width="13.85546875" style="100" customWidth="1"/>
    <col min="6627" max="6630" width="14.85546875" style="100" customWidth="1"/>
    <col min="6631" max="6632" width="14.28515625" style="100" customWidth="1"/>
    <col min="6633" max="6876" width="9.140625" style="100"/>
    <col min="6877" max="6877" width="5.140625" style="100" customWidth="1"/>
    <col min="6878" max="6878" width="9.140625" style="100"/>
    <col min="6879" max="6879" width="25.5703125" style="100" customWidth="1"/>
    <col min="6880" max="6881" width="13.5703125" style="100" customWidth="1"/>
    <col min="6882" max="6882" width="13.85546875" style="100" customWidth="1"/>
    <col min="6883" max="6886" width="14.85546875" style="100" customWidth="1"/>
    <col min="6887" max="6888" width="14.28515625" style="100" customWidth="1"/>
    <col min="6889" max="7132" width="9.140625" style="100"/>
    <col min="7133" max="7133" width="5.140625" style="100" customWidth="1"/>
    <col min="7134" max="7134" width="9.140625" style="100"/>
    <col min="7135" max="7135" width="25.5703125" style="100" customWidth="1"/>
    <col min="7136" max="7137" width="13.5703125" style="100" customWidth="1"/>
    <col min="7138" max="7138" width="13.85546875" style="100" customWidth="1"/>
    <col min="7139" max="7142" width="14.85546875" style="100" customWidth="1"/>
    <col min="7143" max="7144" width="14.28515625" style="100" customWidth="1"/>
    <col min="7145" max="7388" width="9.140625" style="100"/>
    <col min="7389" max="7389" width="5.140625" style="100" customWidth="1"/>
    <col min="7390" max="7390" width="9.140625" style="100"/>
    <col min="7391" max="7391" width="25.5703125" style="100" customWidth="1"/>
    <col min="7392" max="7393" width="13.5703125" style="100" customWidth="1"/>
    <col min="7394" max="7394" width="13.85546875" style="100" customWidth="1"/>
    <col min="7395" max="7398" width="14.85546875" style="100" customWidth="1"/>
    <col min="7399" max="7400" width="14.28515625" style="100" customWidth="1"/>
    <col min="7401" max="7644" width="9.140625" style="100"/>
    <col min="7645" max="7645" width="5.140625" style="100" customWidth="1"/>
    <col min="7646" max="7646" width="9.140625" style="100"/>
    <col min="7647" max="7647" width="25.5703125" style="100" customWidth="1"/>
    <col min="7648" max="7649" width="13.5703125" style="100" customWidth="1"/>
    <col min="7650" max="7650" width="13.85546875" style="100" customWidth="1"/>
    <col min="7651" max="7654" width="14.85546875" style="100" customWidth="1"/>
    <col min="7655" max="7656" width="14.28515625" style="100" customWidth="1"/>
    <col min="7657" max="7900" width="9.140625" style="100"/>
    <col min="7901" max="7901" width="5.140625" style="100" customWidth="1"/>
    <col min="7902" max="7902" width="9.140625" style="100"/>
    <col min="7903" max="7903" width="25.5703125" style="100" customWidth="1"/>
    <col min="7904" max="7905" width="13.5703125" style="100" customWidth="1"/>
    <col min="7906" max="7906" width="13.85546875" style="100" customWidth="1"/>
    <col min="7907" max="7910" width="14.85546875" style="100" customWidth="1"/>
    <col min="7911" max="7912" width="14.28515625" style="100" customWidth="1"/>
    <col min="7913" max="8156" width="9.140625" style="100"/>
    <col min="8157" max="8157" width="5.140625" style="100" customWidth="1"/>
    <col min="8158" max="8158" width="9.140625" style="100"/>
    <col min="8159" max="8159" width="25.5703125" style="100" customWidth="1"/>
    <col min="8160" max="8161" width="13.5703125" style="100" customWidth="1"/>
    <col min="8162" max="8162" width="13.85546875" style="100" customWidth="1"/>
    <col min="8163" max="8166" width="14.85546875" style="100" customWidth="1"/>
    <col min="8167" max="8168" width="14.28515625" style="100" customWidth="1"/>
    <col min="8169" max="8412" width="9.140625" style="100"/>
    <col min="8413" max="8413" width="5.140625" style="100" customWidth="1"/>
    <col min="8414" max="8414" width="9.140625" style="100"/>
    <col min="8415" max="8415" width="25.5703125" style="100" customWidth="1"/>
    <col min="8416" max="8417" width="13.5703125" style="100" customWidth="1"/>
    <col min="8418" max="8418" width="13.85546875" style="100" customWidth="1"/>
    <col min="8419" max="8422" width="14.85546875" style="100" customWidth="1"/>
    <col min="8423" max="8424" width="14.28515625" style="100" customWidth="1"/>
    <col min="8425" max="8668" width="9.140625" style="100"/>
    <col min="8669" max="8669" width="5.140625" style="100" customWidth="1"/>
    <col min="8670" max="8670" width="9.140625" style="100"/>
    <col min="8671" max="8671" width="25.5703125" style="100" customWidth="1"/>
    <col min="8672" max="8673" width="13.5703125" style="100" customWidth="1"/>
    <col min="8674" max="8674" width="13.85546875" style="100" customWidth="1"/>
    <col min="8675" max="8678" width="14.85546875" style="100" customWidth="1"/>
    <col min="8679" max="8680" width="14.28515625" style="100" customWidth="1"/>
    <col min="8681" max="8924" width="9.140625" style="100"/>
    <col min="8925" max="8925" width="5.140625" style="100" customWidth="1"/>
    <col min="8926" max="8926" width="9.140625" style="100"/>
    <col min="8927" max="8927" width="25.5703125" style="100" customWidth="1"/>
    <col min="8928" max="8929" width="13.5703125" style="100" customWidth="1"/>
    <col min="8930" max="8930" width="13.85546875" style="100" customWidth="1"/>
    <col min="8931" max="8934" width="14.85546875" style="100" customWidth="1"/>
    <col min="8935" max="8936" width="14.28515625" style="100" customWidth="1"/>
    <col min="8937" max="9180" width="9.140625" style="100"/>
    <col min="9181" max="9181" width="5.140625" style="100" customWidth="1"/>
    <col min="9182" max="9182" width="9.140625" style="100"/>
    <col min="9183" max="9183" width="25.5703125" style="100" customWidth="1"/>
    <col min="9184" max="9185" width="13.5703125" style="100" customWidth="1"/>
    <col min="9186" max="9186" width="13.85546875" style="100" customWidth="1"/>
    <col min="9187" max="9190" width="14.85546875" style="100" customWidth="1"/>
    <col min="9191" max="9192" width="14.28515625" style="100" customWidth="1"/>
    <col min="9193" max="9436" width="9.140625" style="100"/>
    <col min="9437" max="9437" width="5.140625" style="100" customWidth="1"/>
    <col min="9438" max="9438" width="9.140625" style="100"/>
    <col min="9439" max="9439" width="25.5703125" style="100" customWidth="1"/>
    <col min="9440" max="9441" width="13.5703125" style="100" customWidth="1"/>
    <col min="9442" max="9442" width="13.85546875" style="100" customWidth="1"/>
    <col min="9443" max="9446" width="14.85546875" style="100" customWidth="1"/>
    <col min="9447" max="9448" width="14.28515625" style="100" customWidth="1"/>
    <col min="9449" max="9692" width="9.140625" style="100"/>
    <col min="9693" max="9693" width="5.140625" style="100" customWidth="1"/>
    <col min="9694" max="9694" width="9.140625" style="100"/>
    <col min="9695" max="9695" width="25.5703125" style="100" customWidth="1"/>
    <col min="9696" max="9697" width="13.5703125" style="100" customWidth="1"/>
    <col min="9698" max="9698" width="13.85546875" style="100" customWidth="1"/>
    <col min="9699" max="9702" width="14.85546875" style="100" customWidth="1"/>
    <col min="9703" max="9704" width="14.28515625" style="100" customWidth="1"/>
    <col min="9705" max="9948" width="9.140625" style="100"/>
    <col min="9949" max="9949" width="5.140625" style="100" customWidth="1"/>
    <col min="9950" max="9950" width="9.140625" style="100"/>
    <col min="9951" max="9951" width="25.5703125" style="100" customWidth="1"/>
    <col min="9952" max="9953" width="13.5703125" style="100" customWidth="1"/>
    <col min="9954" max="9954" width="13.85546875" style="100" customWidth="1"/>
    <col min="9955" max="9958" width="14.85546875" style="100" customWidth="1"/>
    <col min="9959" max="9960" width="14.28515625" style="100" customWidth="1"/>
    <col min="9961" max="10204" width="9.140625" style="100"/>
    <col min="10205" max="10205" width="5.140625" style="100" customWidth="1"/>
    <col min="10206" max="10206" width="9.140625" style="100"/>
    <col min="10207" max="10207" width="25.5703125" style="100" customWidth="1"/>
    <col min="10208" max="10209" width="13.5703125" style="100" customWidth="1"/>
    <col min="10210" max="10210" width="13.85546875" style="100" customWidth="1"/>
    <col min="10211" max="10214" width="14.85546875" style="100" customWidth="1"/>
    <col min="10215" max="10216" width="14.28515625" style="100" customWidth="1"/>
    <col min="10217" max="10460" width="9.140625" style="100"/>
    <col min="10461" max="10461" width="5.140625" style="100" customWidth="1"/>
    <col min="10462" max="10462" width="9.140625" style="100"/>
    <col min="10463" max="10463" width="25.5703125" style="100" customWidth="1"/>
    <col min="10464" max="10465" width="13.5703125" style="100" customWidth="1"/>
    <col min="10466" max="10466" width="13.85546875" style="100" customWidth="1"/>
    <col min="10467" max="10470" width="14.85546875" style="100" customWidth="1"/>
    <col min="10471" max="10472" width="14.28515625" style="100" customWidth="1"/>
    <col min="10473" max="10716" width="9.140625" style="100"/>
    <col min="10717" max="10717" width="5.140625" style="100" customWidth="1"/>
    <col min="10718" max="10718" width="9.140625" style="100"/>
    <col min="10719" max="10719" width="25.5703125" style="100" customWidth="1"/>
    <col min="10720" max="10721" width="13.5703125" style="100" customWidth="1"/>
    <col min="10722" max="10722" width="13.85546875" style="100" customWidth="1"/>
    <col min="10723" max="10726" width="14.85546875" style="100" customWidth="1"/>
    <col min="10727" max="10728" width="14.28515625" style="100" customWidth="1"/>
    <col min="10729" max="10972" width="9.140625" style="100"/>
    <col min="10973" max="10973" width="5.140625" style="100" customWidth="1"/>
    <col min="10974" max="10974" width="9.140625" style="100"/>
    <col min="10975" max="10975" width="25.5703125" style="100" customWidth="1"/>
    <col min="10976" max="10977" width="13.5703125" style="100" customWidth="1"/>
    <col min="10978" max="10978" width="13.85546875" style="100" customWidth="1"/>
    <col min="10979" max="10982" width="14.85546875" style="100" customWidth="1"/>
    <col min="10983" max="10984" width="14.28515625" style="100" customWidth="1"/>
    <col min="10985" max="11228" width="9.140625" style="100"/>
    <col min="11229" max="11229" width="5.140625" style="100" customWidth="1"/>
    <col min="11230" max="11230" width="9.140625" style="100"/>
    <col min="11231" max="11231" width="25.5703125" style="100" customWidth="1"/>
    <col min="11232" max="11233" width="13.5703125" style="100" customWidth="1"/>
    <col min="11234" max="11234" width="13.85546875" style="100" customWidth="1"/>
    <col min="11235" max="11238" width="14.85546875" style="100" customWidth="1"/>
    <col min="11239" max="11240" width="14.28515625" style="100" customWidth="1"/>
    <col min="11241" max="11484" width="9.140625" style="100"/>
    <col min="11485" max="11485" width="5.140625" style="100" customWidth="1"/>
    <col min="11486" max="11486" width="9.140625" style="100"/>
    <col min="11487" max="11487" width="25.5703125" style="100" customWidth="1"/>
    <col min="11488" max="11489" width="13.5703125" style="100" customWidth="1"/>
    <col min="11490" max="11490" width="13.85546875" style="100" customWidth="1"/>
    <col min="11491" max="11494" width="14.85546875" style="100" customWidth="1"/>
    <col min="11495" max="11496" width="14.28515625" style="100" customWidth="1"/>
    <col min="11497" max="11740" width="9.140625" style="100"/>
    <col min="11741" max="11741" width="5.140625" style="100" customWidth="1"/>
    <col min="11742" max="11742" width="9.140625" style="100"/>
    <col min="11743" max="11743" width="25.5703125" style="100" customWidth="1"/>
    <col min="11744" max="11745" width="13.5703125" style="100" customWidth="1"/>
    <col min="11746" max="11746" width="13.85546875" style="100" customWidth="1"/>
    <col min="11747" max="11750" width="14.85546875" style="100" customWidth="1"/>
    <col min="11751" max="11752" width="14.28515625" style="100" customWidth="1"/>
    <col min="11753" max="11996" width="9.140625" style="100"/>
    <col min="11997" max="11997" width="5.140625" style="100" customWidth="1"/>
    <col min="11998" max="11998" width="9.140625" style="100"/>
    <col min="11999" max="11999" width="25.5703125" style="100" customWidth="1"/>
    <col min="12000" max="12001" width="13.5703125" style="100" customWidth="1"/>
    <col min="12002" max="12002" width="13.85546875" style="100" customWidth="1"/>
    <col min="12003" max="12006" width="14.85546875" style="100" customWidth="1"/>
    <col min="12007" max="12008" width="14.28515625" style="100" customWidth="1"/>
    <col min="12009" max="12252" width="9.140625" style="100"/>
    <col min="12253" max="12253" width="5.140625" style="100" customWidth="1"/>
    <col min="12254" max="12254" width="9.140625" style="100"/>
    <col min="12255" max="12255" width="25.5703125" style="100" customWidth="1"/>
    <col min="12256" max="12257" width="13.5703125" style="100" customWidth="1"/>
    <col min="12258" max="12258" width="13.85546875" style="100" customWidth="1"/>
    <col min="12259" max="12262" width="14.85546875" style="100" customWidth="1"/>
    <col min="12263" max="12264" width="14.28515625" style="100" customWidth="1"/>
    <col min="12265" max="12508" width="9.140625" style="100"/>
    <col min="12509" max="12509" width="5.140625" style="100" customWidth="1"/>
    <col min="12510" max="12510" width="9.140625" style="100"/>
    <col min="12511" max="12511" width="25.5703125" style="100" customWidth="1"/>
    <col min="12512" max="12513" width="13.5703125" style="100" customWidth="1"/>
    <col min="12514" max="12514" width="13.85546875" style="100" customWidth="1"/>
    <col min="12515" max="12518" width="14.85546875" style="100" customWidth="1"/>
    <col min="12519" max="12520" width="14.28515625" style="100" customWidth="1"/>
    <col min="12521" max="12764" width="9.140625" style="100"/>
    <col min="12765" max="12765" width="5.140625" style="100" customWidth="1"/>
    <col min="12766" max="12766" width="9.140625" style="100"/>
    <col min="12767" max="12767" width="25.5703125" style="100" customWidth="1"/>
    <col min="12768" max="12769" width="13.5703125" style="100" customWidth="1"/>
    <col min="12770" max="12770" width="13.85546875" style="100" customWidth="1"/>
    <col min="12771" max="12774" width="14.85546875" style="100" customWidth="1"/>
    <col min="12775" max="12776" width="14.28515625" style="100" customWidth="1"/>
    <col min="12777" max="13020" width="9.140625" style="100"/>
    <col min="13021" max="13021" width="5.140625" style="100" customWidth="1"/>
    <col min="13022" max="13022" width="9.140625" style="100"/>
    <col min="13023" max="13023" width="25.5703125" style="100" customWidth="1"/>
    <col min="13024" max="13025" width="13.5703125" style="100" customWidth="1"/>
    <col min="13026" max="13026" width="13.85546875" style="100" customWidth="1"/>
    <col min="13027" max="13030" width="14.85546875" style="100" customWidth="1"/>
    <col min="13031" max="13032" width="14.28515625" style="100" customWidth="1"/>
    <col min="13033" max="13276" width="9.140625" style="100"/>
    <col min="13277" max="13277" width="5.140625" style="100" customWidth="1"/>
    <col min="13278" max="13278" width="9.140625" style="100"/>
    <col min="13279" max="13279" width="25.5703125" style="100" customWidth="1"/>
    <col min="13280" max="13281" width="13.5703125" style="100" customWidth="1"/>
    <col min="13282" max="13282" width="13.85546875" style="100" customWidth="1"/>
    <col min="13283" max="13286" width="14.85546875" style="100" customWidth="1"/>
    <col min="13287" max="13288" width="14.28515625" style="100" customWidth="1"/>
    <col min="13289" max="13532" width="9.140625" style="100"/>
    <col min="13533" max="13533" width="5.140625" style="100" customWidth="1"/>
    <col min="13534" max="13534" width="9.140625" style="100"/>
    <col min="13535" max="13535" width="25.5703125" style="100" customWidth="1"/>
    <col min="13536" max="13537" width="13.5703125" style="100" customWidth="1"/>
    <col min="13538" max="13538" width="13.85546875" style="100" customWidth="1"/>
    <col min="13539" max="13542" width="14.85546875" style="100" customWidth="1"/>
    <col min="13543" max="13544" width="14.28515625" style="100" customWidth="1"/>
    <col min="13545" max="13788" width="9.140625" style="100"/>
    <col min="13789" max="13789" width="5.140625" style="100" customWidth="1"/>
    <col min="13790" max="13790" width="9.140625" style="100"/>
    <col min="13791" max="13791" width="25.5703125" style="100" customWidth="1"/>
    <col min="13792" max="13793" width="13.5703125" style="100" customWidth="1"/>
    <col min="13794" max="13794" width="13.85546875" style="100" customWidth="1"/>
    <col min="13795" max="13798" width="14.85546875" style="100" customWidth="1"/>
    <col min="13799" max="13800" width="14.28515625" style="100" customWidth="1"/>
    <col min="13801" max="14044" width="9.140625" style="100"/>
    <col min="14045" max="14045" width="5.140625" style="100" customWidth="1"/>
    <col min="14046" max="14046" width="9.140625" style="100"/>
    <col min="14047" max="14047" width="25.5703125" style="100" customWidth="1"/>
    <col min="14048" max="14049" width="13.5703125" style="100" customWidth="1"/>
    <col min="14050" max="14050" width="13.85546875" style="100" customWidth="1"/>
    <col min="14051" max="14054" width="14.85546875" style="100" customWidth="1"/>
    <col min="14055" max="14056" width="14.28515625" style="100" customWidth="1"/>
    <col min="14057" max="14300" width="9.140625" style="100"/>
    <col min="14301" max="14301" width="5.140625" style="100" customWidth="1"/>
    <col min="14302" max="14302" width="9.140625" style="100"/>
    <col min="14303" max="14303" width="25.5703125" style="100" customWidth="1"/>
    <col min="14304" max="14305" width="13.5703125" style="100" customWidth="1"/>
    <col min="14306" max="14306" width="13.85546875" style="100" customWidth="1"/>
    <col min="14307" max="14310" width="14.85546875" style="100" customWidth="1"/>
    <col min="14311" max="14312" width="14.28515625" style="100" customWidth="1"/>
    <col min="14313" max="14556" width="9.140625" style="100"/>
    <col min="14557" max="14557" width="5.140625" style="100" customWidth="1"/>
    <col min="14558" max="14558" width="9.140625" style="100"/>
    <col min="14559" max="14559" width="25.5703125" style="100" customWidth="1"/>
    <col min="14560" max="14561" width="13.5703125" style="100" customWidth="1"/>
    <col min="14562" max="14562" width="13.85546875" style="100" customWidth="1"/>
    <col min="14563" max="14566" width="14.85546875" style="100" customWidth="1"/>
    <col min="14567" max="14568" width="14.28515625" style="100" customWidth="1"/>
    <col min="14569" max="14812" width="9.140625" style="100"/>
    <col min="14813" max="14813" width="5.140625" style="100" customWidth="1"/>
    <col min="14814" max="14814" width="9.140625" style="100"/>
    <col min="14815" max="14815" width="25.5703125" style="100" customWidth="1"/>
    <col min="14816" max="14817" width="13.5703125" style="100" customWidth="1"/>
    <col min="14818" max="14818" width="13.85546875" style="100" customWidth="1"/>
    <col min="14819" max="14822" width="14.85546875" style="100" customWidth="1"/>
    <col min="14823" max="14824" width="14.28515625" style="100" customWidth="1"/>
    <col min="14825" max="15068" width="9.140625" style="100"/>
    <col min="15069" max="15069" width="5.140625" style="100" customWidth="1"/>
    <col min="15070" max="15070" width="9.140625" style="100"/>
    <col min="15071" max="15071" width="25.5703125" style="100" customWidth="1"/>
    <col min="15072" max="15073" width="13.5703125" style="100" customWidth="1"/>
    <col min="15074" max="15074" width="13.85546875" style="100" customWidth="1"/>
    <col min="15075" max="15078" width="14.85546875" style="100" customWidth="1"/>
    <col min="15079" max="15080" width="14.28515625" style="100" customWidth="1"/>
    <col min="15081" max="15324" width="9.140625" style="100"/>
    <col min="15325" max="15325" width="5.140625" style="100" customWidth="1"/>
    <col min="15326" max="15326" width="9.140625" style="100"/>
    <col min="15327" max="15327" width="25.5703125" style="100" customWidth="1"/>
    <col min="15328" max="15329" width="13.5703125" style="100" customWidth="1"/>
    <col min="15330" max="15330" width="13.85546875" style="100" customWidth="1"/>
    <col min="15331" max="15334" width="14.85546875" style="100" customWidth="1"/>
    <col min="15335" max="15336" width="14.28515625" style="100" customWidth="1"/>
    <col min="15337" max="15580" width="9.140625" style="100"/>
    <col min="15581" max="15581" width="5.140625" style="100" customWidth="1"/>
    <col min="15582" max="15582" width="9.140625" style="100"/>
    <col min="15583" max="15583" width="25.5703125" style="100" customWidth="1"/>
    <col min="15584" max="15585" width="13.5703125" style="100" customWidth="1"/>
    <col min="15586" max="15586" width="13.85546875" style="100" customWidth="1"/>
    <col min="15587" max="15590" width="14.85546875" style="100" customWidth="1"/>
    <col min="15591" max="15592" width="14.28515625" style="100" customWidth="1"/>
    <col min="15593" max="15836" width="9.140625" style="100"/>
    <col min="15837" max="15837" width="5.140625" style="100" customWidth="1"/>
    <col min="15838" max="15838" width="9.140625" style="100"/>
    <col min="15839" max="15839" width="25.5703125" style="100" customWidth="1"/>
    <col min="15840" max="15841" width="13.5703125" style="100" customWidth="1"/>
    <col min="15842" max="15842" width="13.85546875" style="100" customWidth="1"/>
    <col min="15843" max="15846" width="14.85546875" style="100" customWidth="1"/>
    <col min="15847" max="15848" width="14.28515625" style="100" customWidth="1"/>
    <col min="15849" max="16092" width="9.140625" style="100"/>
    <col min="16093" max="16093" width="5.140625" style="100" customWidth="1"/>
    <col min="16094" max="16094" width="9.140625" style="100"/>
    <col min="16095" max="16095" width="25.5703125" style="100" customWidth="1"/>
    <col min="16096" max="16097" width="13.5703125" style="100" customWidth="1"/>
    <col min="16098" max="16098" width="13.85546875" style="100" customWidth="1"/>
    <col min="16099" max="16102" width="14.85546875" style="100" customWidth="1"/>
    <col min="16103" max="16104" width="14.28515625" style="100" customWidth="1"/>
    <col min="16105" max="16384" width="9.140625" style="100"/>
  </cols>
  <sheetData>
    <row r="1" spans="1:8">
      <c r="A1" s="99"/>
      <c r="B1" s="116"/>
      <c r="C1" s="99"/>
      <c r="D1" s="99"/>
    </row>
    <row r="2" spans="1:8" ht="18.75">
      <c r="A2" s="256" t="s">
        <v>0</v>
      </c>
      <c r="B2" s="256"/>
      <c r="C2" s="256"/>
      <c r="D2" s="256"/>
      <c r="E2" s="256"/>
      <c r="F2" s="256"/>
      <c r="G2" s="256"/>
      <c r="H2" s="256"/>
    </row>
    <row r="3" spans="1:8" ht="18.75">
      <c r="A3" s="256" t="s">
        <v>202</v>
      </c>
      <c r="B3" s="256"/>
      <c r="C3" s="256"/>
      <c r="D3" s="256"/>
      <c r="E3" s="256"/>
      <c r="F3" s="256"/>
      <c r="G3" s="256"/>
      <c r="H3" s="256"/>
    </row>
    <row r="4" spans="1:8" ht="21" thickBot="1">
      <c r="A4" s="99"/>
      <c r="B4" s="116"/>
      <c r="C4" s="99"/>
      <c r="D4" s="99"/>
      <c r="G4" s="100" t="s">
        <v>201</v>
      </c>
    </row>
    <row r="5" spans="1:8" ht="19.5" customHeight="1" thickBot="1">
      <c r="A5" s="261" t="s">
        <v>1</v>
      </c>
      <c r="B5" s="263" t="s">
        <v>2</v>
      </c>
      <c r="C5" s="265" t="s">
        <v>25</v>
      </c>
      <c r="D5" s="266"/>
      <c r="E5" s="259" t="s">
        <v>191</v>
      </c>
      <c r="F5" s="260"/>
      <c r="G5" s="259" t="s">
        <v>192</v>
      </c>
      <c r="H5" s="260"/>
    </row>
    <row r="6" spans="1:8" ht="53.25" customHeight="1" thickBot="1">
      <c r="A6" s="262"/>
      <c r="B6" s="264"/>
      <c r="C6" s="101" t="s">
        <v>199</v>
      </c>
      <c r="D6" s="129" t="s">
        <v>200</v>
      </c>
      <c r="E6" s="149" t="s">
        <v>193</v>
      </c>
      <c r="F6" s="149" t="s">
        <v>194</v>
      </c>
      <c r="G6" s="149" t="s">
        <v>193</v>
      </c>
      <c r="H6" s="149" t="s">
        <v>195</v>
      </c>
    </row>
    <row r="7" spans="1:8" s="103" customFormat="1" ht="19.5" thickBot="1">
      <c r="A7" s="146"/>
      <c r="B7" s="150">
        <v>1</v>
      </c>
      <c r="C7" s="102">
        <v>2</v>
      </c>
      <c r="D7" s="102">
        <v>3</v>
      </c>
      <c r="E7" s="114" t="s">
        <v>198</v>
      </c>
      <c r="F7" s="148">
        <v>5</v>
      </c>
      <c r="G7" s="114">
        <v>6</v>
      </c>
      <c r="H7" s="114">
        <v>7</v>
      </c>
    </row>
    <row r="8" spans="1:8" ht="37.5">
      <c r="A8" s="151" t="s">
        <v>8</v>
      </c>
      <c r="B8" s="152" t="s">
        <v>31</v>
      </c>
      <c r="C8" s="141">
        <v>706.2</v>
      </c>
      <c r="D8" s="134">
        <f>530223/1000</f>
        <v>530.22299999999996</v>
      </c>
      <c r="E8" s="147">
        <f>C8*30/100</f>
        <v>211.86</v>
      </c>
      <c r="F8" s="147">
        <v>211.9</v>
      </c>
      <c r="G8" s="147">
        <f>D8*30/100</f>
        <v>159.06689999999998</v>
      </c>
      <c r="H8" s="147">
        <v>159.1</v>
      </c>
    </row>
    <row r="9" spans="1:8" ht="28.5" customHeight="1">
      <c r="A9" s="151" t="s">
        <v>9</v>
      </c>
      <c r="B9" s="152" t="s">
        <v>32</v>
      </c>
      <c r="C9" s="142">
        <v>292.39999999999998</v>
      </c>
      <c r="D9" s="135">
        <v>461.4</v>
      </c>
      <c r="E9" s="138">
        <f t="shared" ref="E9:E34" si="0">C9*30/100</f>
        <v>87.72</v>
      </c>
      <c r="F9" s="138">
        <v>87.7</v>
      </c>
      <c r="G9" s="138">
        <f t="shared" ref="G9:G24" si="1">D9*30/100</f>
        <v>138.41999999999999</v>
      </c>
      <c r="H9" s="138">
        <v>138.4</v>
      </c>
    </row>
    <row r="10" spans="1:8" ht="18.75">
      <c r="A10" s="151" t="s">
        <v>10</v>
      </c>
      <c r="B10" s="152" t="s">
        <v>34</v>
      </c>
      <c r="C10" s="142">
        <v>3324</v>
      </c>
      <c r="D10" s="135">
        <f>-1256862/1000</f>
        <v>-1256.8620000000001</v>
      </c>
      <c r="E10" s="138">
        <f t="shared" si="0"/>
        <v>997.2</v>
      </c>
      <c r="F10" s="138" t="s">
        <v>203</v>
      </c>
      <c r="G10" s="138"/>
      <c r="H10" s="138"/>
    </row>
    <row r="11" spans="1:8" ht="18" customHeight="1">
      <c r="A11" s="151" t="s">
        <v>11</v>
      </c>
      <c r="B11" s="152" t="s">
        <v>35</v>
      </c>
      <c r="C11" s="143">
        <v>2816.2</v>
      </c>
      <c r="D11" s="136">
        <v>815.3</v>
      </c>
      <c r="E11" s="138">
        <f t="shared" si="0"/>
        <v>844.86</v>
      </c>
      <c r="F11" s="138" t="s">
        <v>204</v>
      </c>
      <c r="G11" s="138">
        <f t="shared" si="1"/>
        <v>244.59</v>
      </c>
      <c r="H11" s="138">
        <v>140</v>
      </c>
    </row>
    <row r="12" spans="1:8" s="118" customFormat="1" ht="37.5">
      <c r="A12" s="153" t="s">
        <v>12</v>
      </c>
      <c r="B12" s="154" t="s">
        <v>36</v>
      </c>
      <c r="C12" s="144">
        <v>10189.9</v>
      </c>
      <c r="D12" s="137">
        <v>9563.7000000000007</v>
      </c>
      <c r="E12" s="138">
        <f t="shared" si="0"/>
        <v>3056.97</v>
      </c>
      <c r="F12" s="140" t="s">
        <v>204</v>
      </c>
      <c r="G12" s="138">
        <f t="shared" si="1"/>
        <v>2869.11</v>
      </c>
      <c r="H12" s="174" t="s">
        <v>206</v>
      </c>
    </row>
    <row r="13" spans="1:8" ht="18.75">
      <c r="A13" s="151" t="s">
        <v>13</v>
      </c>
      <c r="B13" s="152" t="s">
        <v>37</v>
      </c>
      <c r="C13" s="142">
        <v>725.2</v>
      </c>
      <c r="D13" s="135">
        <f>-205.4</f>
        <v>-205.4</v>
      </c>
      <c r="E13" s="138">
        <f t="shared" si="0"/>
        <v>217.56</v>
      </c>
      <c r="F13" s="138">
        <v>217.6</v>
      </c>
      <c r="G13" s="138"/>
      <c r="H13" s="138"/>
    </row>
    <row r="14" spans="1:8" ht="18.75">
      <c r="A14" s="151" t="s">
        <v>14</v>
      </c>
      <c r="B14" s="152" t="s">
        <v>38</v>
      </c>
      <c r="C14" s="142">
        <v>241.1</v>
      </c>
      <c r="D14" s="135">
        <f>198971 /1000</f>
        <v>198.971</v>
      </c>
      <c r="E14" s="138">
        <f t="shared" si="0"/>
        <v>72.33</v>
      </c>
      <c r="F14" s="138">
        <v>72.3</v>
      </c>
      <c r="G14" s="138">
        <f t="shared" si="1"/>
        <v>59.691299999999998</v>
      </c>
      <c r="H14" s="138">
        <v>59.7</v>
      </c>
    </row>
    <row r="15" spans="1:8" ht="18.75">
      <c r="A15" s="151" t="s">
        <v>15</v>
      </c>
      <c r="B15" s="152" t="s">
        <v>39</v>
      </c>
      <c r="C15" s="143">
        <v>69.099999999999994</v>
      </c>
      <c r="D15" s="136">
        <v>29.6</v>
      </c>
      <c r="E15" s="138">
        <f t="shared" si="0"/>
        <v>20.73</v>
      </c>
      <c r="F15" s="138">
        <v>20.7</v>
      </c>
      <c r="G15" s="138">
        <f t="shared" si="1"/>
        <v>8.8800000000000008</v>
      </c>
      <c r="H15" s="138">
        <v>8.9</v>
      </c>
    </row>
    <row r="16" spans="1:8" ht="18.75">
      <c r="A16" s="151" t="s">
        <v>16</v>
      </c>
      <c r="B16" s="152" t="s">
        <v>41</v>
      </c>
      <c r="C16" s="142">
        <v>-120.9</v>
      </c>
      <c r="D16" s="135">
        <v>45.4</v>
      </c>
      <c r="E16" s="138"/>
      <c r="F16" s="138"/>
      <c r="G16" s="138">
        <f t="shared" si="1"/>
        <v>13.62</v>
      </c>
      <c r="H16" s="138">
        <v>19.3</v>
      </c>
    </row>
    <row r="17" spans="1:8" ht="18.75">
      <c r="A17" s="151" t="s">
        <v>17</v>
      </c>
      <c r="B17" s="152" t="s">
        <v>42</v>
      </c>
      <c r="C17" s="143">
        <v>142.69999999999999</v>
      </c>
      <c r="D17" s="136">
        <f>-150086 /1000</f>
        <v>-150.08600000000001</v>
      </c>
      <c r="E17" s="138">
        <f t="shared" si="0"/>
        <v>42.81</v>
      </c>
      <c r="F17" s="138"/>
      <c r="G17" s="138"/>
      <c r="H17" s="138"/>
    </row>
    <row r="18" spans="1:8" ht="18.75">
      <c r="A18" s="151" t="s">
        <v>18</v>
      </c>
      <c r="B18" s="152" t="s">
        <v>48</v>
      </c>
      <c r="C18" s="143">
        <v>-8.1999999999999993</v>
      </c>
      <c r="D18" s="136">
        <v>11.5</v>
      </c>
      <c r="E18" s="138"/>
      <c r="F18" s="138"/>
      <c r="G18" s="138">
        <f t="shared" si="1"/>
        <v>3.45</v>
      </c>
      <c r="H18" s="138">
        <v>3.5</v>
      </c>
    </row>
    <row r="19" spans="1:8" ht="18.75">
      <c r="A19" s="151" t="s">
        <v>19</v>
      </c>
      <c r="B19" s="152" t="s">
        <v>189</v>
      </c>
      <c r="C19" s="145">
        <v>0.1</v>
      </c>
      <c r="D19" s="138">
        <v>-17.3</v>
      </c>
      <c r="E19" s="138">
        <f t="shared" si="0"/>
        <v>0.03</v>
      </c>
      <c r="F19" s="138">
        <v>2</v>
      </c>
      <c r="G19" s="138"/>
      <c r="H19" s="138"/>
    </row>
    <row r="20" spans="1:8" ht="37.5">
      <c r="A20" s="151" t="s">
        <v>20</v>
      </c>
      <c r="B20" s="152" t="s">
        <v>59</v>
      </c>
      <c r="C20" s="145">
        <v>-28.6</v>
      </c>
      <c r="D20" s="138">
        <v>3.3</v>
      </c>
      <c r="E20" s="138"/>
      <c r="F20" s="138"/>
      <c r="G20" s="138">
        <f t="shared" si="1"/>
        <v>0.99</v>
      </c>
      <c r="H20" s="138">
        <v>1</v>
      </c>
    </row>
    <row r="21" spans="1:8" ht="18.75">
      <c r="A21" s="151" t="s">
        <v>21</v>
      </c>
      <c r="B21" s="152" t="s">
        <v>62</v>
      </c>
      <c r="C21" s="145">
        <v>54</v>
      </c>
      <c r="D21" s="138">
        <v>102.5</v>
      </c>
      <c r="E21" s="138">
        <f t="shared" si="0"/>
        <v>16.2</v>
      </c>
      <c r="F21" s="138">
        <v>16.2</v>
      </c>
      <c r="G21" s="138">
        <f t="shared" si="1"/>
        <v>30.75</v>
      </c>
      <c r="H21" s="138">
        <v>30.8</v>
      </c>
    </row>
    <row r="22" spans="1:8" ht="18.75">
      <c r="A22" s="151" t="s">
        <v>43</v>
      </c>
      <c r="B22" s="152" t="s">
        <v>64</v>
      </c>
      <c r="C22" s="145">
        <v>165.1</v>
      </c>
      <c r="D22" s="138">
        <f>-903.9</f>
        <v>-903.9</v>
      </c>
      <c r="E22" s="138">
        <f t="shared" si="0"/>
        <v>49.53</v>
      </c>
      <c r="F22" s="138">
        <v>70.8</v>
      </c>
      <c r="G22" s="138"/>
      <c r="H22" s="138"/>
    </row>
    <row r="23" spans="1:8" ht="18.75">
      <c r="A23" s="151" t="s">
        <v>45</v>
      </c>
      <c r="B23" s="152" t="s">
        <v>66</v>
      </c>
      <c r="C23" s="145">
        <v>9.1</v>
      </c>
      <c r="D23" s="138">
        <v>7.8</v>
      </c>
      <c r="E23" s="138">
        <f t="shared" si="0"/>
        <v>2.73</v>
      </c>
      <c r="F23" s="138">
        <v>2.7</v>
      </c>
      <c r="G23" s="138">
        <f t="shared" si="1"/>
        <v>2.34</v>
      </c>
      <c r="H23" s="138">
        <v>2.2999999999999998</v>
      </c>
    </row>
    <row r="24" spans="1:8" ht="19.5" thickBot="1">
      <c r="A24" s="155" t="s">
        <v>47</v>
      </c>
      <c r="B24" s="156" t="s">
        <v>70</v>
      </c>
      <c r="C24" s="139">
        <v>-174.7</v>
      </c>
      <c r="D24" s="139">
        <v>12.3</v>
      </c>
      <c r="E24" s="139"/>
      <c r="F24" s="139"/>
      <c r="G24" s="139">
        <f t="shared" si="1"/>
        <v>3.69</v>
      </c>
      <c r="H24" s="139"/>
    </row>
    <row r="25" spans="1:8" ht="19.5" thickBot="1">
      <c r="A25" s="157"/>
      <c r="B25" s="158" t="s">
        <v>197</v>
      </c>
      <c r="C25" s="169">
        <f>C8+C9+C10+C11+C12+C13+C14+C15+C17+C19+C21+C22+C23</f>
        <v>18735.099999999995</v>
      </c>
      <c r="D25" s="170">
        <f>D8+D9+D11+D12+D14+D15+D16+D18+D20+D21+D23+D24</f>
        <v>11781.993999999997</v>
      </c>
      <c r="E25" s="171">
        <f t="shared" si="0"/>
        <v>5620.5299999999988</v>
      </c>
      <c r="F25" s="172">
        <f>SUM(F8:F24)</f>
        <v>701.90000000000009</v>
      </c>
      <c r="G25" s="173">
        <f>D25*30/100</f>
        <v>3534.598199999999</v>
      </c>
      <c r="H25" s="172">
        <f>SUM(H8:H24)</f>
        <v>562.99999999999989</v>
      </c>
    </row>
    <row r="26" spans="1:8" ht="23.25" customHeight="1">
      <c r="A26" s="159" t="s">
        <v>49</v>
      </c>
      <c r="B26" s="160" t="s">
        <v>78</v>
      </c>
      <c r="C26" s="138">
        <v>17.2</v>
      </c>
      <c r="D26" s="138">
        <f>-100.1</f>
        <v>-100.1</v>
      </c>
      <c r="E26" s="133">
        <f t="shared" si="0"/>
        <v>5.16</v>
      </c>
      <c r="F26" s="133">
        <v>5.16</v>
      </c>
      <c r="G26" s="133"/>
      <c r="H26" s="133"/>
    </row>
    <row r="27" spans="1:8" ht="19.5" customHeight="1">
      <c r="A27" s="122" t="s">
        <v>52</v>
      </c>
      <c r="B27" s="161" t="s">
        <v>88</v>
      </c>
      <c r="C27" s="162">
        <v>-10.6</v>
      </c>
      <c r="D27" s="163">
        <v>17.899999999999999</v>
      </c>
      <c r="E27" s="131"/>
      <c r="F27" s="131"/>
      <c r="G27" s="131">
        <f>D27*30/100</f>
        <v>5.37</v>
      </c>
      <c r="H27" s="131"/>
    </row>
    <row r="28" spans="1:8" ht="21" customHeight="1">
      <c r="A28" s="159" t="s">
        <v>54</v>
      </c>
      <c r="B28" s="161" t="s">
        <v>90</v>
      </c>
      <c r="C28" s="162">
        <v>7.7</v>
      </c>
      <c r="D28" s="163">
        <f>-11.3</f>
        <v>-11.3</v>
      </c>
      <c r="E28" s="131">
        <f t="shared" si="0"/>
        <v>2.31</v>
      </c>
      <c r="F28" s="131">
        <v>2.2999999999999998</v>
      </c>
      <c r="G28" s="131"/>
      <c r="H28" s="131"/>
    </row>
    <row r="29" spans="1:8" ht="22.5" customHeight="1">
      <c r="A29" s="122" t="s">
        <v>56</v>
      </c>
      <c r="B29" s="161" t="s">
        <v>92</v>
      </c>
      <c r="C29" s="162">
        <v>32.299999999999997</v>
      </c>
      <c r="D29" s="163">
        <f>-211.6</f>
        <v>-211.6</v>
      </c>
      <c r="E29" s="131">
        <f t="shared" si="0"/>
        <v>9.69</v>
      </c>
      <c r="F29" s="131"/>
      <c r="G29" s="131"/>
      <c r="H29" s="131"/>
    </row>
    <row r="30" spans="1:8" ht="20.25" customHeight="1">
      <c r="A30" s="122" t="s">
        <v>58</v>
      </c>
      <c r="B30" s="161" t="s">
        <v>108</v>
      </c>
      <c r="C30" s="162">
        <v>35.1</v>
      </c>
      <c r="D30" s="163">
        <f>-0.7</f>
        <v>-0.7</v>
      </c>
      <c r="E30" s="131">
        <f t="shared" si="0"/>
        <v>10.53</v>
      </c>
      <c r="F30" s="131"/>
      <c r="G30" s="131"/>
      <c r="H30" s="131"/>
    </row>
    <row r="31" spans="1:8" ht="21" customHeight="1">
      <c r="A31" s="122" t="s">
        <v>61</v>
      </c>
      <c r="B31" s="161" t="s">
        <v>116</v>
      </c>
      <c r="C31" s="162">
        <v>71.599999999999994</v>
      </c>
      <c r="D31" s="163">
        <v>-9.8000000000000007</v>
      </c>
      <c r="E31" s="131">
        <f t="shared" si="0"/>
        <v>21.48</v>
      </c>
      <c r="F31" s="131"/>
      <c r="G31" s="131"/>
      <c r="H31" s="131"/>
    </row>
    <row r="32" spans="1:8" ht="21.75" customHeight="1">
      <c r="A32" s="159" t="s">
        <v>63</v>
      </c>
      <c r="B32" s="161" t="s">
        <v>118</v>
      </c>
      <c r="C32" s="162">
        <v>160.80000000000001</v>
      </c>
      <c r="D32" s="163">
        <f>-24.7</f>
        <v>-24.7</v>
      </c>
      <c r="E32" s="131">
        <f t="shared" si="0"/>
        <v>48.24</v>
      </c>
      <c r="F32" s="131"/>
      <c r="G32" s="131"/>
      <c r="H32" s="131"/>
    </row>
    <row r="33" spans="1:8" ht="26.25" customHeight="1">
      <c r="A33" s="122" t="s">
        <v>65</v>
      </c>
      <c r="B33" s="161" t="s">
        <v>120</v>
      </c>
      <c r="C33" s="162">
        <v>16.8</v>
      </c>
      <c r="D33" s="163">
        <v>23.4</v>
      </c>
      <c r="E33" s="131">
        <f t="shared" si="0"/>
        <v>5.04</v>
      </c>
      <c r="F33" s="131"/>
      <c r="G33" s="131">
        <f>D33*30/100</f>
        <v>7.02</v>
      </c>
      <c r="H33" s="131">
        <v>7</v>
      </c>
    </row>
    <row r="34" spans="1:8" ht="24" customHeight="1">
      <c r="A34" s="122" t="s">
        <v>67</v>
      </c>
      <c r="B34" s="161" t="s">
        <v>124</v>
      </c>
      <c r="C34" s="162">
        <v>6.5</v>
      </c>
      <c r="D34" s="163">
        <v>14.8</v>
      </c>
      <c r="E34" s="131">
        <f t="shared" si="0"/>
        <v>1.95</v>
      </c>
      <c r="F34" s="131">
        <v>2.8</v>
      </c>
      <c r="G34" s="131">
        <f>D34*30/100</f>
        <v>4.4400000000000004</v>
      </c>
      <c r="H34" s="131">
        <v>4.4000000000000004</v>
      </c>
    </row>
    <row r="35" spans="1:8" ht="27.75" customHeight="1" thickBot="1">
      <c r="A35" s="122" t="s">
        <v>69</v>
      </c>
      <c r="B35" s="164" t="s">
        <v>128</v>
      </c>
      <c r="C35" s="165">
        <v>-17.2</v>
      </c>
      <c r="D35" s="166">
        <v>142.80000000000001</v>
      </c>
      <c r="E35" s="131"/>
      <c r="F35" s="131"/>
      <c r="G35" s="131">
        <f>D35*30/100</f>
        <v>42.84</v>
      </c>
      <c r="H35" s="131"/>
    </row>
    <row r="36" spans="1:8" s="104" customFormat="1" ht="27" customHeight="1" thickBot="1">
      <c r="A36" s="257" t="s">
        <v>205</v>
      </c>
      <c r="B36" s="258"/>
      <c r="C36" s="167">
        <f>C26+C28+C29+C30+C31+C32+C33+C34</f>
        <v>348</v>
      </c>
      <c r="D36" s="168">
        <f>D27+D33+D34+D35</f>
        <v>198.9</v>
      </c>
      <c r="E36" s="132">
        <f>SUM(E26:E35)</f>
        <v>104.4</v>
      </c>
      <c r="F36" s="132">
        <f t="shared" ref="F36:H36" si="2">SUM(F26:F35)</f>
        <v>10.26</v>
      </c>
      <c r="G36" s="132">
        <f t="shared" si="2"/>
        <v>59.67</v>
      </c>
      <c r="H36" s="132">
        <f t="shared" si="2"/>
        <v>11.4</v>
      </c>
    </row>
    <row r="37" spans="1:8" s="104" customFormat="1" ht="25.5" customHeight="1" thickBot="1">
      <c r="A37" s="257" t="s">
        <v>196</v>
      </c>
      <c r="B37" s="258"/>
      <c r="C37" s="167">
        <f>C25+C36</f>
        <v>19083.099999999995</v>
      </c>
      <c r="D37" s="167">
        <f>D25+D36</f>
        <v>11980.893999999997</v>
      </c>
      <c r="E37" s="167">
        <f t="shared" ref="E37:H37" si="3">E25+E36</f>
        <v>5724.9299999999985</v>
      </c>
      <c r="F37" s="167">
        <f t="shared" si="3"/>
        <v>712.16000000000008</v>
      </c>
      <c r="G37" s="167">
        <f t="shared" si="3"/>
        <v>3594.2681999999991</v>
      </c>
      <c r="H37" s="167">
        <f t="shared" si="3"/>
        <v>574.39999999999986</v>
      </c>
    </row>
    <row r="41" spans="1:8" s="99" customFormat="1" ht="51" customHeight="1">
      <c r="A41" s="120"/>
      <c r="B41" s="130"/>
      <c r="C41" s="120"/>
      <c r="D41" s="120"/>
    </row>
  </sheetData>
  <mergeCells count="9">
    <mergeCell ref="A3:H3"/>
    <mergeCell ref="A2:H2"/>
    <mergeCell ref="A36:B36"/>
    <mergeCell ref="A37:B37"/>
    <mergeCell ref="E5:F5"/>
    <mergeCell ref="G5:H5"/>
    <mergeCell ref="A5:A6"/>
    <mergeCell ref="B5:B6"/>
    <mergeCell ref="C5:D5"/>
  </mergeCells>
  <pageMargins left="0.7" right="0.7" top="0.75" bottom="0.75" header="0.3" footer="0.3"/>
  <pageSetup paperSize="9" scale="46" fitToHeight="0" orientation="landscape" horizontalDpi="180" verticalDpi="180" r:id="rId1"/>
  <rowBreaks count="1" manualBreakCount="1">
    <brk id="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90"/>
  <sheetViews>
    <sheetView topLeftCell="P1" workbookViewId="0">
      <pane ySplit="8" topLeftCell="A9" activePane="bottomLeft" state="frozen"/>
      <selection pane="bottomLeft" activeCell="AE5" sqref="AE5:AE6"/>
    </sheetView>
  </sheetViews>
  <sheetFormatPr defaultRowHeight="15"/>
  <cols>
    <col min="1" max="1" width="5.140625" style="36" customWidth="1"/>
    <col min="2" max="2" width="32" style="36" customWidth="1"/>
    <col min="3" max="3" width="11.7109375" style="36" customWidth="1"/>
    <col min="4" max="4" width="11.28515625" style="36" customWidth="1"/>
    <col min="5" max="5" width="8.85546875" style="36" customWidth="1"/>
    <col min="6" max="6" width="7.7109375" style="36" customWidth="1"/>
    <col min="7" max="7" width="11.28515625" style="36" customWidth="1"/>
    <col min="8" max="8" width="11.5703125" style="36" customWidth="1"/>
    <col min="9" max="9" width="10.140625" style="36" customWidth="1"/>
    <col min="10" max="10" width="9.85546875" style="36" customWidth="1"/>
    <col min="11" max="11" width="11.7109375" style="36" customWidth="1"/>
    <col min="12" max="12" width="11.42578125" style="36" customWidth="1"/>
    <col min="13" max="13" width="9.28515625" style="36" customWidth="1"/>
    <col min="14" max="14" width="9.5703125" style="36" customWidth="1"/>
    <col min="15" max="15" width="10.42578125" style="36" customWidth="1"/>
    <col min="16" max="16" width="11.28515625" style="36" customWidth="1"/>
    <col min="17" max="18" width="9.140625" style="36"/>
    <col min="19" max="19" width="11.28515625" style="36" customWidth="1"/>
    <col min="20" max="20" width="11" style="36" customWidth="1"/>
    <col min="21" max="22" width="9.140625" style="36"/>
    <col min="23" max="23" width="10.7109375" style="36" customWidth="1"/>
    <col min="24" max="24" width="11.28515625" style="36" customWidth="1"/>
    <col min="25" max="25" width="9.85546875" style="36" customWidth="1"/>
    <col min="26" max="26" width="9.140625" style="36"/>
    <col min="27" max="27" width="12.140625" style="36" customWidth="1"/>
    <col min="28" max="28" width="11.28515625" style="36" customWidth="1"/>
    <col min="29" max="254" width="9.140625" style="36"/>
    <col min="255" max="255" width="5.140625" style="36" customWidth="1"/>
    <col min="256" max="256" width="9.140625" style="36"/>
    <col min="257" max="257" width="25.5703125" style="36" customWidth="1"/>
    <col min="258" max="259" width="13.5703125" style="36" customWidth="1"/>
    <col min="260" max="260" width="13.85546875" style="36" customWidth="1"/>
    <col min="261" max="264" width="14.85546875" style="36" customWidth="1"/>
    <col min="265" max="266" width="14.28515625" style="36" customWidth="1"/>
    <col min="267" max="510" width="9.140625" style="36"/>
    <col min="511" max="511" width="5.140625" style="36" customWidth="1"/>
    <col min="512" max="512" width="9.140625" style="36"/>
    <col min="513" max="513" width="25.5703125" style="36" customWidth="1"/>
    <col min="514" max="515" width="13.5703125" style="36" customWidth="1"/>
    <col min="516" max="516" width="13.85546875" style="36" customWidth="1"/>
    <col min="517" max="520" width="14.85546875" style="36" customWidth="1"/>
    <col min="521" max="522" width="14.28515625" style="36" customWidth="1"/>
    <col min="523" max="766" width="9.140625" style="36"/>
    <col min="767" max="767" width="5.140625" style="36" customWidth="1"/>
    <col min="768" max="768" width="9.140625" style="36"/>
    <col min="769" max="769" width="25.5703125" style="36" customWidth="1"/>
    <col min="770" max="771" width="13.5703125" style="36" customWidth="1"/>
    <col min="772" max="772" width="13.85546875" style="36" customWidth="1"/>
    <col min="773" max="776" width="14.85546875" style="36" customWidth="1"/>
    <col min="777" max="778" width="14.28515625" style="36" customWidth="1"/>
    <col min="779" max="1022" width="9.140625" style="36"/>
    <col min="1023" max="1023" width="5.140625" style="36" customWidth="1"/>
    <col min="1024" max="1024" width="9.140625" style="36"/>
    <col min="1025" max="1025" width="25.5703125" style="36" customWidth="1"/>
    <col min="1026" max="1027" width="13.5703125" style="36" customWidth="1"/>
    <col min="1028" max="1028" width="13.85546875" style="36" customWidth="1"/>
    <col min="1029" max="1032" width="14.85546875" style="36" customWidth="1"/>
    <col min="1033" max="1034" width="14.28515625" style="36" customWidth="1"/>
    <col min="1035" max="1278" width="9.140625" style="36"/>
    <col min="1279" max="1279" width="5.140625" style="36" customWidth="1"/>
    <col min="1280" max="1280" width="9.140625" style="36"/>
    <col min="1281" max="1281" width="25.5703125" style="36" customWidth="1"/>
    <col min="1282" max="1283" width="13.5703125" style="36" customWidth="1"/>
    <col min="1284" max="1284" width="13.85546875" style="36" customWidth="1"/>
    <col min="1285" max="1288" width="14.85546875" style="36" customWidth="1"/>
    <col min="1289" max="1290" width="14.28515625" style="36" customWidth="1"/>
    <col min="1291" max="1534" width="9.140625" style="36"/>
    <col min="1535" max="1535" width="5.140625" style="36" customWidth="1"/>
    <col min="1536" max="1536" width="9.140625" style="36"/>
    <col min="1537" max="1537" width="25.5703125" style="36" customWidth="1"/>
    <col min="1538" max="1539" width="13.5703125" style="36" customWidth="1"/>
    <col min="1540" max="1540" width="13.85546875" style="36" customWidth="1"/>
    <col min="1541" max="1544" width="14.85546875" style="36" customWidth="1"/>
    <col min="1545" max="1546" width="14.28515625" style="36" customWidth="1"/>
    <col min="1547" max="1790" width="9.140625" style="36"/>
    <col min="1791" max="1791" width="5.140625" style="36" customWidth="1"/>
    <col min="1792" max="1792" width="9.140625" style="36"/>
    <col min="1793" max="1793" width="25.5703125" style="36" customWidth="1"/>
    <col min="1794" max="1795" width="13.5703125" style="36" customWidth="1"/>
    <col min="1796" max="1796" width="13.85546875" style="36" customWidth="1"/>
    <col min="1797" max="1800" width="14.85546875" style="36" customWidth="1"/>
    <col min="1801" max="1802" width="14.28515625" style="36" customWidth="1"/>
    <col min="1803" max="2046" width="9.140625" style="36"/>
    <col min="2047" max="2047" width="5.140625" style="36" customWidth="1"/>
    <col min="2048" max="2048" width="9.140625" style="36"/>
    <col min="2049" max="2049" width="25.5703125" style="36" customWidth="1"/>
    <col min="2050" max="2051" width="13.5703125" style="36" customWidth="1"/>
    <col min="2052" max="2052" width="13.85546875" style="36" customWidth="1"/>
    <col min="2053" max="2056" width="14.85546875" style="36" customWidth="1"/>
    <col min="2057" max="2058" width="14.28515625" style="36" customWidth="1"/>
    <col min="2059" max="2302" width="9.140625" style="36"/>
    <col min="2303" max="2303" width="5.140625" style="36" customWidth="1"/>
    <col min="2304" max="2304" width="9.140625" style="36"/>
    <col min="2305" max="2305" width="25.5703125" style="36" customWidth="1"/>
    <col min="2306" max="2307" width="13.5703125" style="36" customWidth="1"/>
    <col min="2308" max="2308" width="13.85546875" style="36" customWidth="1"/>
    <col min="2309" max="2312" width="14.85546875" style="36" customWidth="1"/>
    <col min="2313" max="2314" width="14.28515625" style="36" customWidth="1"/>
    <col min="2315" max="2558" width="9.140625" style="36"/>
    <col min="2559" max="2559" width="5.140625" style="36" customWidth="1"/>
    <col min="2560" max="2560" width="9.140625" style="36"/>
    <col min="2561" max="2561" width="25.5703125" style="36" customWidth="1"/>
    <col min="2562" max="2563" width="13.5703125" style="36" customWidth="1"/>
    <col min="2564" max="2564" width="13.85546875" style="36" customWidth="1"/>
    <col min="2565" max="2568" width="14.85546875" style="36" customWidth="1"/>
    <col min="2569" max="2570" width="14.28515625" style="36" customWidth="1"/>
    <col min="2571" max="2814" width="9.140625" style="36"/>
    <col min="2815" max="2815" width="5.140625" style="36" customWidth="1"/>
    <col min="2816" max="2816" width="9.140625" style="36"/>
    <col min="2817" max="2817" width="25.5703125" style="36" customWidth="1"/>
    <col min="2818" max="2819" width="13.5703125" style="36" customWidth="1"/>
    <col min="2820" max="2820" width="13.85546875" style="36" customWidth="1"/>
    <col min="2821" max="2824" width="14.85546875" style="36" customWidth="1"/>
    <col min="2825" max="2826" width="14.28515625" style="36" customWidth="1"/>
    <col min="2827" max="3070" width="9.140625" style="36"/>
    <col min="3071" max="3071" width="5.140625" style="36" customWidth="1"/>
    <col min="3072" max="3072" width="9.140625" style="36"/>
    <col min="3073" max="3073" width="25.5703125" style="36" customWidth="1"/>
    <col min="3074" max="3075" width="13.5703125" style="36" customWidth="1"/>
    <col min="3076" max="3076" width="13.85546875" style="36" customWidth="1"/>
    <col min="3077" max="3080" width="14.85546875" style="36" customWidth="1"/>
    <col min="3081" max="3082" width="14.28515625" style="36" customWidth="1"/>
    <col min="3083" max="3326" width="9.140625" style="36"/>
    <col min="3327" max="3327" width="5.140625" style="36" customWidth="1"/>
    <col min="3328" max="3328" width="9.140625" style="36"/>
    <col min="3329" max="3329" width="25.5703125" style="36" customWidth="1"/>
    <col min="3330" max="3331" width="13.5703125" style="36" customWidth="1"/>
    <col min="3332" max="3332" width="13.85546875" style="36" customWidth="1"/>
    <col min="3333" max="3336" width="14.85546875" style="36" customWidth="1"/>
    <col min="3337" max="3338" width="14.28515625" style="36" customWidth="1"/>
    <col min="3339" max="3582" width="9.140625" style="36"/>
    <col min="3583" max="3583" width="5.140625" style="36" customWidth="1"/>
    <col min="3584" max="3584" width="9.140625" style="36"/>
    <col min="3585" max="3585" width="25.5703125" style="36" customWidth="1"/>
    <col min="3586" max="3587" width="13.5703125" style="36" customWidth="1"/>
    <col min="3588" max="3588" width="13.85546875" style="36" customWidth="1"/>
    <col min="3589" max="3592" width="14.85546875" style="36" customWidth="1"/>
    <col min="3593" max="3594" width="14.28515625" style="36" customWidth="1"/>
    <col min="3595" max="3838" width="9.140625" style="36"/>
    <col min="3839" max="3839" width="5.140625" style="36" customWidth="1"/>
    <col min="3840" max="3840" width="9.140625" style="36"/>
    <col min="3841" max="3841" width="25.5703125" style="36" customWidth="1"/>
    <col min="3842" max="3843" width="13.5703125" style="36" customWidth="1"/>
    <col min="3844" max="3844" width="13.85546875" style="36" customWidth="1"/>
    <col min="3845" max="3848" width="14.85546875" style="36" customWidth="1"/>
    <col min="3849" max="3850" width="14.28515625" style="36" customWidth="1"/>
    <col min="3851" max="4094" width="9.140625" style="36"/>
    <col min="4095" max="4095" width="5.140625" style="36" customWidth="1"/>
    <col min="4096" max="4096" width="9.140625" style="36"/>
    <col min="4097" max="4097" width="25.5703125" style="36" customWidth="1"/>
    <col min="4098" max="4099" width="13.5703125" style="36" customWidth="1"/>
    <col min="4100" max="4100" width="13.85546875" style="36" customWidth="1"/>
    <col min="4101" max="4104" width="14.85546875" style="36" customWidth="1"/>
    <col min="4105" max="4106" width="14.28515625" style="36" customWidth="1"/>
    <col min="4107" max="4350" width="9.140625" style="36"/>
    <col min="4351" max="4351" width="5.140625" style="36" customWidth="1"/>
    <col min="4352" max="4352" width="9.140625" style="36"/>
    <col min="4353" max="4353" width="25.5703125" style="36" customWidth="1"/>
    <col min="4354" max="4355" width="13.5703125" style="36" customWidth="1"/>
    <col min="4356" max="4356" width="13.85546875" style="36" customWidth="1"/>
    <col min="4357" max="4360" width="14.85546875" style="36" customWidth="1"/>
    <col min="4361" max="4362" width="14.28515625" style="36" customWidth="1"/>
    <col min="4363" max="4606" width="9.140625" style="36"/>
    <col min="4607" max="4607" width="5.140625" style="36" customWidth="1"/>
    <col min="4608" max="4608" width="9.140625" style="36"/>
    <col min="4609" max="4609" width="25.5703125" style="36" customWidth="1"/>
    <col min="4610" max="4611" width="13.5703125" style="36" customWidth="1"/>
    <col min="4612" max="4612" width="13.85546875" style="36" customWidth="1"/>
    <col min="4613" max="4616" width="14.85546875" style="36" customWidth="1"/>
    <col min="4617" max="4618" width="14.28515625" style="36" customWidth="1"/>
    <col min="4619" max="4862" width="9.140625" style="36"/>
    <col min="4863" max="4863" width="5.140625" style="36" customWidth="1"/>
    <col min="4864" max="4864" width="9.140625" style="36"/>
    <col min="4865" max="4865" width="25.5703125" style="36" customWidth="1"/>
    <col min="4866" max="4867" width="13.5703125" style="36" customWidth="1"/>
    <col min="4868" max="4868" width="13.85546875" style="36" customWidth="1"/>
    <col min="4869" max="4872" width="14.85546875" style="36" customWidth="1"/>
    <col min="4873" max="4874" width="14.28515625" style="36" customWidth="1"/>
    <col min="4875" max="5118" width="9.140625" style="36"/>
    <col min="5119" max="5119" width="5.140625" style="36" customWidth="1"/>
    <col min="5120" max="5120" width="9.140625" style="36"/>
    <col min="5121" max="5121" width="25.5703125" style="36" customWidth="1"/>
    <col min="5122" max="5123" width="13.5703125" style="36" customWidth="1"/>
    <col min="5124" max="5124" width="13.85546875" style="36" customWidth="1"/>
    <col min="5125" max="5128" width="14.85546875" style="36" customWidth="1"/>
    <col min="5129" max="5130" width="14.28515625" style="36" customWidth="1"/>
    <col min="5131" max="5374" width="9.140625" style="36"/>
    <col min="5375" max="5375" width="5.140625" style="36" customWidth="1"/>
    <col min="5376" max="5376" width="9.140625" style="36"/>
    <col min="5377" max="5377" width="25.5703125" style="36" customWidth="1"/>
    <col min="5378" max="5379" width="13.5703125" style="36" customWidth="1"/>
    <col min="5380" max="5380" width="13.85546875" style="36" customWidth="1"/>
    <col min="5381" max="5384" width="14.85546875" style="36" customWidth="1"/>
    <col min="5385" max="5386" width="14.28515625" style="36" customWidth="1"/>
    <col min="5387" max="5630" width="9.140625" style="36"/>
    <col min="5631" max="5631" width="5.140625" style="36" customWidth="1"/>
    <col min="5632" max="5632" width="9.140625" style="36"/>
    <col min="5633" max="5633" width="25.5703125" style="36" customWidth="1"/>
    <col min="5634" max="5635" width="13.5703125" style="36" customWidth="1"/>
    <col min="5636" max="5636" width="13.85546875" style="36" customWidth="1"/>
    <col min="5637" max="5640" width="14.85546875" style="36" customWidth="1"/>
    <col min="5641" max="5642" width="14.28515625" style="36" customWidth="1"/>
    <col min="5643" max="5886" width="9.140625" style="36"/>
    <col min="5887" max="5887" width="5.140625" style="36" customWidth="1"/>
    <col min="5888" max="5888" width="9.140625" style="36"/>
    <col min="5889" max="5889" width="25.5703125" style="36" customWidth="1"/>
    <col min="5890" max="5891" width="13.5703125" style="36" customWidth="1"/>
    <col min="5892" max="5892" width="13.85546875" style="36" customWidth="1"/>
    <col min="5893" max="5896" width="14.85546875" style="36" customWidth="1"/>
    <col min="5897" max="5898" width="14.28515625" style="36" customWidth="1"/>
    <col min="5899" max="6142" width="9.140625" style="36"/>
    <col min="6143" max="6143" width="5.140625" style="36" customWidth="1"/>
    <col min="6144" max="6144" width="9.140625" style="36"/>
    <col min="6145" max="6145" width="25.5703125" style="36" customWidth="1"/>
    <col min="6146" max="6147" width="13.5703125" style="36" customWidth="1"/>
    <col min="6148" max="6148" width="13.85546875" style="36" customWidth="1"/>
    <col min="6149" max="6152" width="14.85546875" style="36" customWidth="1"/>
    <col min="6153" max="6154" width="14.28515625" style="36" customWidth="1"/>
    <col min="6155" max="6398" width="9.140625" style="36"/>
    <col min="6399" max="6399" width="5.140625" style="36" customWidth="1"/>
    <col min="6400" max="6400" width="9.140625" style="36"/>
    <col min="6401" max="6401" width="25.5703125" style="36" customWidth="1"/>
    <col min="6402" max="6403" width="13.5703125" style="36" customWidth="1"/>
    <col min="6404" max="6404" width="13.85546875" style="36" customWidth="1"/>
    <col min="6405" max="6408" width="14.85546875" style="36" customWidth="1"/>
    <col min="6409" max="6410" width="14.28515625" style="36" customWidth="1"/>
    <col min="6411" max="6654" width="9.140625" style="36"/>
    <col min="6655" max="6655" width="5.140625" style="36" customWidth="1"/>
    <col min="6656" max="6656" width="9.140625" style="36"/>
    <col min="6657" max="6657" width="25.5703125" style="36" customWidth="1"/>
    <col min="6658" max="6659" width="13.5703125" style="36" customWidth="1"/>
    <col min="6660" max="6660" width="13.85546875" style="36" customWidth="1"/>
    <col min="6661" max="6664" width="14.85546875" style="36" customWidth="1"/>
    <col min="6665" max="6666" width="14.28515625" style="36" customWidth="1"/>
    <col min="6667" max="6910" width="9.140625" style="36"/>
    <col min="6911" max="6911" width="5.140625" style="36" customWidth="1"/>
    <col min="6912" max="6912" width="9.140625" style="36"/>
    <col min="6913" max="6913" width="25.5703125" style="36" customWidth="1"/>
    <col min="6914" max="6915" width="13.5703125" style="36" customWidth="1"/>
    <col min="6916" max="6916" width="13.85546875" style="36" customWidth="1"/>
    <col min="6917" max="6920" width="14.85546875" style="36" customWidth="1"/>
    <col min="6921" max="6922" width="14.28515625" style="36" customWidth="1"/>
    <col min="6923" max="7166" width="9.140625" style="36"/>
    <col min="7167" max="7167" width="5.140625" style="36" customWidth="1"/>
    <col min="7168" max="7168" width="9.140625" style="36"/>
    <col min="7169" max="7169" width="25.5703125" style="36" customWidth="1"/>
    <col min="7170" max="7171" width="13.5703125" style="36" customWidth="1"/>
    <col min="7172" max="7172" width="13.85546875" style="36" customWidth="1"/>
    <col min="7173" max="7176" width="14.85546875" style="36" customWidth="1"/>
    <col min="7177" max="7178" width="14.28515625" style="36" customWidth="1"/>
    <col min="7179" max="7422" width="9.140625" style="36"/>
    <col min="7423" max="7423" width="5.140625" style="36" customWidth="1"/>
    <col min="7424" max="7424" width="9.140625" style="36"/>
    <col min="7425" max="7425" width="25.5703125" style="36" customWidth="1"/>
    <col min="7426" max="7427" width="13.5703125" style="36" customWidth="1"/>
    <col min="7428" max="7428" width="13.85546875" style="36" customWidth="1"/>
    <col min="7429" max="7432" width="14.85546875" style="36" customWidth="1"/>
    <col min="7433" max="7434" width="14.28515625" style="36" customWidth="1"/>
    <col min="7435" max="7678" width="9.140625" style="36"/>
    <col min="7679" max="7679" width="5.140625" style="36" customWidth="1"/>
    <col min="7680" max="7680" width="9.140625" style="36"/>
    <col min="7681" max="7681" width="25.5703125" style="36" customWidth="1"/>
    <col min="7682" max="7683" width="13.5703125" style="36" customWidth="1"/>
    <col min="7684" max="7684" width="13.85546875" style="36" customWidth="1"/>
    <col min="7685" max="7688" width="14.85546875" style="36" customWidth="1"/>
    <col min="7689" max="7690" width="14.28515625" style="36" customWidth="1"/>
    <col min="7691" max="7934" width="9.140625" style="36"/>
    <col min="7935" max="7935" width="5.140625" style="36" customWidth="1"/>
    <col min="7936" max="7936" width="9.140625" style="36"/>
    <col min="7937" max="7937" width="25.5703125" style="36" customWidth="1"/>
    <col min="7938" max="7939" width="13.5703125" style="36" customWidth="1"/>
    <col min="7940" max="7940" width="13.85546875" style="36" customWidth="1"/>
    <col min="7941" max="7944" width="14.85546875" style="36" customWidth="1"/>
    <col min="7945" max="7946" width="14.28515625" style="36" customWidth="1"/>
    <col min="7947" max="8190" width="9.140625" style="36"/>
    <col min="8191" max="8191" width="5.140625" style="36" customWidth="1"/>
    <col min="8192" max="8192" width="9.140625" style="36"/>
    <col min="8193" max="8193" width="25.5703125" style="36" customWidth="1"/>
    <col min="8194" max="8195" width="13.5703125" style="36" customWidth="1"/>
    <col min="8196" max="8196" width="13.85546875" style="36" customWidth="1"/>
    <col min="8197" max="8200" width="14.85546875" style="36" customWidth="1"/>
    <col min="8201" max="8202" width="14.28515625" style="36" customWidth="1"/>
    <col min="8203" max="8446" width="9.140625" style="36"/>
    <col min="8447" max="8447" width="5.140625" style="36" customWidth="1"/>
    <col min="8448" max="8448" width="9.140625" style="36"/>
    <col min="8449" max="8449" width="25.5703125" style="36" customWidth="1"/>
    <col min="8450" max="8451" width="13.5703125" style="36" customWidth="1"/>
    <col min="8452" max="8452" width="13.85546875" style="36" customWidth="1"/>
    <col min="8453" max="8456" width="14.85546875" style="36" customWidth="1"/>
    <col min="8457" max="8458" width="14.28515625" style="36" customWidth="1"/>
    <col min="8459" max="8702" width="9.140625" style="36"/>
    <col min="8703" max="8703" width="5.140625" style="36" customWidth="1"/>
    <col min="8704" max="8704" width="9.140625" style="36"/>
    <col min="8705" max="8705" width="25.5703125" style="36" customWidth="1"/>
    <col min="8706" max="8707" width="13.5703125" style="36" customWidth="1"/>
    <col min="8708" max="8708" width="13.85546875" style="36" customWidth="1"/>
    <col min="8709" max="8712" width="14.85546875" style="36" customWidth="1"/>
    <col min="8713" max="8714" width="14.28515625" style="36" customWidth="1"/>
    <col min="8715" max="8958" width="9.140625" style="36"/>
    <col min="8959" max="8959" width="5.140625" style="36" customWidth="1"/>
    <col min="8960" max="8960" width="9.140625" style="36"/>
    <col min="8961" max="8961" width="25.5703125" style="36" customWidth="1"/>
    <col min="8962" max="8963" width="13.5703125" style="36" customWidth="1"/>
    <col min="8964" max="8964" width="13.85546875" style="36" customWidth="1"/>
    <col min="8965" max="8968" width="14.85546875" style="36" customWidth="1"/>
    <col min="8969" max="8970" width="14.28515625" style="36" customWidth="1"/>
    <col min="8971" max="9214" width="9.140625" style="36"/>
    <col min="9215" max="9215" width="5.140625" style="36" customWidth="1"/>
    <col min="9216" max="9216" width="9.140625" style="36"/>
    <col min="9217" max="9217" width="25.5703125" style="36" customWidth="1"/>
    <col min="9218" max="9219" width="13.5703125" style="36" customWidth="1"/>
    <col min="9220" max="9220" width="13.85546875" style="36" customWidth="1"/>
    <col min="9221" max="9224" width="14.85546875" style="36" customWidth="1"/>
    <col min="9225" max="9226" width="14.28515625" style="36" customWidth="1"/>
    <col min="9227" max="9470" width="9.140625" style="36"/>
    <col min="9471" max="9471" width="5.140625" style="36" customWidth="1"/>
    <col min="9472" max="9472" width="9.140625" style="36"/>
    <col min="9473" max="9473" width="25.5703125" style="36" customWidth="1"/>
    <col min="9474" max="9475" width="13.5703125" style="36" customWidth="1"/>
    <col min="9476" max="9476" width="13.85546875" style="36" customWidth="1"/>
    <col min="9477" max="9480" width="14.85546875" style="36" customWidth="1"/>
    <col min="9481" max="9482" width="14.28515625" style="36" customWidth="1"/>
    <col min="9483" max="9726" width="9.140625" style="36"/>
    <col min="9727" max="9727" width="5.140625" style="36" customWidth="1"/>
    <col min="9728" max="9728" width="9.140625" style="36"/>
    <col min="9729" max="9729" width="25.5703125" style="36" customWidth="1"/>
    <col min="9730" max="9731" width="13.5703125" style="36" customWidth="1"/>
    <col min="9732" max="9732" width="13.85546875" style="36" customWidth="1"/>
    <col min="9733" max="9736" width="14.85546875" style="36" customWidth="1"/>
    <col min="9737" max="9738" width="14.28515625" style="36" customWidth="1"/>
    <col min="9739" max="9982" width="9.140625" style="36"/>
    <col min="9983" max="9983" width="5.140625" style="36" customWidth="1"/>
    <col min="9984" max="9984" width="9.140625" style="36"/>
    <col min="9985" max="9985" width="25.5703125" style="36" customWidth="1"/>
    <col min="9986" max="9987" width="13.5703125" style="36" customWidth="1"/>
    <col min="9988" max="9988" width="13.85546875" style="36" customWidth="1"/>
    <col min="9989" max="9992" width="14.85546875" style="36" customWidth="1"/>
    <col min="9993" max="9994" width="14.28515625" style="36" customWidth="1"/>
    <col min="9995" max="10238" width="9.140625" style="36"/>
    <col min="10239" max="10239" width="5.140625" style="36" customWidth="1"/>
    <col min="10240" max="10240" width="9.140625" style="36"/>
    <col min="10241" max="10241" width="25.5703125" style="36" customWidth="1"/>
    <col min="10242" max="10243" width="13.5703125" style="36" customWidth="1"/>
    <col min="10244" max="10244" width="13.85546875" style="36" customWidth="1"/>
    <col min="10245" max="10248" width="14.85546875" style="36" customWidth="1"/>
    <col min="10249" max="10250" width="14.28515625" style="36" customWidth="1"/>
    <col min="10251" max="10494" width="9.140625" style="36"/>
    <col min="10495" max="10495" width="5.140625" style="36" customWidth="1"/>
    <col min="10496" max="10496" width="9.140625" style="36"/>
    <col min="10497" max="10497" width="25.5703125" style="36" customWidth="1"/>
    <col min="10498" max="10499" width="13.5703125" style="36" customWidth="1"/>
    <col min="10500" max="10500" width="13.85546875" style="36" customWidth="1"/>
    <col min="10501" max="10504" width="14.85546875" style="36" customWidth="1"/>
    <col min="10505" max="10506" width="14.28515625" style="36" customWidth="1"/>
    <col min="10507" max="10750" width="9.140625" style="36"/>
    <col min="10751" max="10751" width="5.140625" style="36" customWidth="1"/>
    <col min="10752" max="10752" width="9.140625" style="36"/>
    <col min="10753" max="10753" width="25.5703125" style="36" customWidth="1"/>
    <col min="10754" max="10755" width="13.5703125" style="36" customWidth="1"/>
    <col min="10756" max="10756" width="13.85546875" style="36" customWidth="1"/>
    <col min="10757" max="10760" width="14.85546875" style="36" customWidth="1"/>
    <col min="10761" max="10762" width="14.28515625" style="36" customWidth="1"/>
    <col min="10763" max="11006" width="9.140625" style="36"/>
    <col min="11007" max="11007" width="5.140625" style="36" customWidth="1"/>
    <col min="11008" max="11008" width="9.140625" style="36"/>
    <col min="11009" max="11009" width="25.5703125" style="36" customWidth="1"/>
    <col min="11010" max="11011" width="13.5703125" style="36" customWidth="1"/>
    <col min="11012" max="11012" width="13.85546875" style="36" customWidth="1"/>
    <col min="11013" max="11016" width="14.85546875" style="36" customWidth="1"/>
    <col min="11017" max="11018" width="14.28515625" style="36" customWidth="1"/>
    <col min="11019" max="11262" width="9.140625" style="36"/>
    <col min="11263" max="11263" width="5.140625" style="36" customWidth="1"/>
    <col min="11264" max="11264" width="9.140625" style="36"/>
    <col min="11265" max="11265" width="25.5703125" style="36" customWidth="1"/>
    <col min="11266" max="11267" width="13.5703125" style="36" customWidth="1"/>
    <col min="11268" max="11268" width="13.85546875" style="36" customWidth="1"/>
    <col min="11269" max="11272" width="14.85546875" style="36" customWidth="1"/>
    <col min="11273" max="11274" width="14.28515625" style="36" customWidth="1"/>
    <col min="11275" max="11518" width="9.140625" style="36"/>
    <col min="11519" max="11519" width="5.140625" style="36" customWidth="1"/>
    <col min="11520" max="11520" width="9.140625" style="36"/>
    <col min="11521" max="11521" width="25.5703125" style="36" customWidth="1"/>
    <col min="11522" max="11523" width="13.5703125" style="36" customWidth="1"/>
    <col min="11524" max="11524" width="13.85546875" style="36" customWidth="1"/>
    <col min="11525" max="11528" width="14.85546875" style="36" customWidth="1"/>
    <col min="11529" max="11530" width="14.28515625" style="36" customWidth="1"/>
    <col min="11531" max="11774" width="9.140625" style="36"/>
    <col min="11775" max="11775" width="5.140625" style="36" customWidth="1"/>
    <col min="11776" max="11776" width="9.140625" style="36"/>
    <col min="11777" max="11777" width="25.5703125" style="36" customWidth="1"/>
    <col min="11778" max="11779" width="13.5703125" style="36" customWidth="1"/>
    <col min="11780" max="11780" width="13.85546875" style="36" customWidth="1"/>
    <col min="11781" max="11784" width="14.85546875" style="36" customWidth="1"/>
    <col min="11785" max="11786" width="14.28515625" style="36" customWidth="1"/>
    <col min="11787" max="12030" width="9.140625" style="36"/>
    <col min="12031" max="12031" width="5.140625" style="36" customWidth="1"/>
    <col min="12032" max="12032" width="9.140625" style="36"/>
    <col min="12033" max="12033" width="25.5703125" style="36" customWidth="1"/>
    <col min="12034" max="12035" width="13.5703125" style="36" customWidth="1"/>
    <col min="12036" max="12036" width="13.85546875" style="36" customWidth="1"/>
    <col min="12037" max="12040" width="14.85546875" style="36" customWidth="1"/>
    <col min="12041" max="12042" width="14.28515625" style="36" customWidth="1"/>
    <col min="12043" max="12286" width="9.140625" style="36"/>
    <col min="12287" max="12287" width="5.140625" style="36" customWidth="1"/>
    <col min="12288" max="12288" width="9.140625" style="36"/>
    <col min="12289" max="12289" width="25.5703125" style="36" customWidth="1"/>
    <col min="12290" max="12291" width="13.5703125" style="36" customWidth="1"/>
    <col min="12292" max="12292" width="13.85546875" style="36" customWidth="1"/>
    <col min="12293" max="12296" width="14.85546875" style="36" customWidth="1"/>
    <col min="12297" max="12298" width="14.28515625" style="36" customWidth="1"/>
    <col min="12299" max="12542" width="9.140625" style="36"/>
    <col min="12543" max="12543" width="5.140625" style="36" customWidth="1"/>
    <col min="12544" max="12544" width="9.140625" style="36"/>
    <col min="12545" max="12545" width="25.5703125" style="36" customWidth="1"/>
    <col min="12546" max="12547" width="13.5703125" style="36" customWidth="1"/>
    <col min="12548" max="12548" width="13.85546875" style="36" customWidth="1"/>
    <col min="12549" max="12552" width="14.85546875" style="36" customWidth="1"/>
    <col min="12553" max="12554" width="14.28515625" style="36" customWidth="1"/>
    <col min="12555" max="12798" width="9.140625" style="36"/>
    <col min="12799" max="12799" width="5.140625" style="36" customWidth="1"/>
    <col min="12800" max="12800" width="9.140625" style="36"/>
    <col min="12801" max="12801" width="25.5703125" style="36" customWidth="1"/>
    <col min="12802" max="12803" width="13.5703125" style="36" customWidth="1"/>
    <col min="12804" max="12804" width="13.85546875" style="36" customWidth="1"/>
    <col min="12805" max="12808" width="14.85546875" style="36" customWidth="1"/>
    <col min="12809" max="12810" width="14.28515625" style="36" customWidth="1"/>
    <col min="12811" max="13054" width="9.140625" style="36"/>
    <col min="13055" max="13055" width="5.140625" style="36" customWidth="1"/>
    <col min="13056" max="13056" width="9.140625" style="36"/>
    <col min="13057" max="13057" width="25.5703125" style="36" customWidth="1"/>
    <col min="13058" max="13059" width="13.5703125" style="36" customWidth="1"/>
    <col min="13060" max="13060" width="13.85546875" style="36" customWidth="1"/>
    <col min="13061" max="13064" width="14.85546875" style="36" customWidth="1"/>
    <col min="13065" max="13066" width="14.28515625" style="36" customWidth="1"/>
    <col min="13067" max="13310" width="9.140625" style="36"/>
    <col min="13311" max="13311" width="5.140625" style="36" customWidth="1"/>
    <col min="13312" max="13312" width="9.140625" style="36"/>
    <col min="13313" max="13313" width="25.5703125" style="36" customWidth="1"/>
    <col min="13314" max="13315" width="13.5703125" style="36" customWidth="1"/>
    <col min="13316" max="13316" width="13.85546875" style="36" customWidth="1"/>
    <col min="13317" max="13320" width="14.85546875" style="36" customWidth="1"/>
    <col min="13321" max="13322" width="14.28515625" style="36" customWidth="1"/>
    <col min="13323" max="13566" width="9.140625" style="36"/>
    <col min="13567" max="13567" width="5.140625" style="36" customWidth="1"/>
    <col min="13568" max="13568" width="9.140625" style="36"/>
    <col min="13569" max="13569" width="25.5703125" style="36" customWidth="1"/>
    <col min="13570" max="13571" width="13.5703125" style="36" customWidth="1"/>
    <col min="13572" max="13572" width="13.85546875" style="36" customWidth="1"/>
    <col min="13573" max="13576" width="14.85546875" style="36" customWidth="1"/>
    <col min="13577" max="13578" width="14.28515625" style="36" customWidth="1"/>
    <col min="13579" max="13822" width="9.140625" style="36"/>
    <col min="13823" max="13823" width="5.140625" style="36" customWidth="1"/>
    <col min="13824" max="13824" width="9.140625" style="36"/>
    <col min="13825" max="13825" width="25.5703125" style="36" customWidth="1"/>
    <col min="13826" max="13827" width="13.5703125" style="36" customWidth="1"/>
    <col min="13828" max="13828" width="13.85546875" style="36" customWidth="1"/>
    <col min="13829" max="13832" width="14.85546875" style="36" customWidth="1"/>
    <col min="13833" max="13834" width="14.28515625" style="36" customWidth="1"/>
    <col min="13835" max="14078" width="9.140625" style="36"/>
    <col min="14079" max="14079" width="5.140625" style="36" customWidth="1"/>
    <col min="14080" max="14080" width="9.140625" style="36"/>
    <col min="14081" max="14081" width="25.5703125" style="36" customWidth="1"/>
    <col min="14082" max="14083" width="13.5703125" style="36" customWidth="1"/>
    <col min="14084" max="14084" width="13.85546875" style="36" customWidth="1"/>
    <col min="14085" max="14088" width="14.85546875" style="36" customWidth="1"/>
    <col min="14089" max="14090" width="14.28515625" style="36" customWidth="1"/>
    <col min="14091" max="14334" width="9.140625" style="36"/>
    <col min="14335" max="14335" width="5.140625" style="36" customWidth="1"/>
    <col min="14336" max="14336" width="9.140625" style="36"/>
    <col min="14337" max="14337" width="25.5703125" style="36" customWidth="1"/>
    <col min="14338" max="14339" width="13.5703125" style="36" customWidth="1"/>
    <col min="14340" max="14340" width="13.85546875" style="36" customWidth="1"/>
    <col min="14341" max="14344" width="14.85546875" style="36" customWidth="1"/>
    <col min="14345" max="14346" width="14.28515625" style="36" customWidth="1"/>
    <col min="14347" max="14590" width="9.140625" style="36"/>
    <col min="14591" max="14591" width="5.140625" style="36" customWidth="1"/>
    <col min="14592" max="14592" width="9.140625" style="36"/>
    <col min="14593" max="14593" width="25.5703125" style="36" customWidth="1"/>
    <col min="14594" max="14595" width="13.5703125" style="36" customWidth="1"/>
    <col min="14596" max="14596" width="13.85546875" style="36" customWidth="1"/>
    <col min="14597" max="14600" width="14.85546875" style="36" customWidth="1"/>
    <col min="14601" max="14602" width="14.28515625" style="36" customWidth="1"/>
    <col min="14603" max="14846" width="9.140625" style="36"/>
    <col min="14847" max="14847" width="5.140625" style="36" customWidth="1"/>
    <col min="14848" max="14848" width="9.140625" style="36"/>
    <col min="14849" max="14849" width="25.5703125" style="36" customWidth="1"/>
    <col min="14850" max="14851" width="13.5703125" style="36" customWidth="1"/>
    <col min="14852" max="14852" width="13.85546875" style="36" customWidth="1"/>
    <col min="14853" max="14856" width="14.85546875" style="36" customWidth="1"/>
    <col min="14857" max="14858" width="14.28515625" style="36" customWidth="1"/>
    <col min="14859" max="15102" width="9.140625" style="36"/>
    <col min="15103" max="15103" width="5.140625" style="36" customWidth="1"/>
    <col min="15104" max="15104" width="9.140625" style="36"/>
    <col min="15105" max="15105" width="25.5703125" style="36" customWidth="1"/>
    <col min="15106" max="15107" width="13.5703125" style="36" customWidth="1"/>
    <col min="15108" max="15108" width="13.85546875" style="36" customWidth="1"/>
    <col min="15109" max="15112" width="14.85546875" style="36" customWidth="1"/>
    <col min="15113" max="15114" width="14.28515625" style="36" customWidth="1"/>
    <col min="15115" max="15358" width="9.140625" style="36"/>
    <col min="15359" max="15359" width="5.140625" style="36" customWidth="1"/>
    <col min="15360" max="15360" width="9.140625" style="36"/>
    <col min="15361" max="15361" width="25.5703125" style="36" customWidth="1"/>
    <col min="15362" max="15363" width="13.5703125" style="36" customWidth="1"/>
    <col min="15364" max="15364" width="13.85546875" style="36" customWidth="1"/>
    <col min="15365" max="15368" width="14.85546875" style="36" customWidth="1"/>
    <col min="15369" max="15370" width="14.28515625" style="36" customWidth="1"/>
    <col min="15371" max="15614" width="9.140625" style="36"/>
    <col min="15615" max="15615" width="5.140625" style="36" customWidth="1"/>
    <col min="15616" max="15616" width="9.140625" style="36"/>
    <col min="15617" max="15617" width="25.5703125" style="36" customWidth="1"/>
    <col min="15618" max="15619" width="13.5703125" style="36" customWidth="1"/>
    <col min="15620" max="15620" width="13.85546875" style="36" customWidth="1"/>
    <col min="15621" max="15624" width="14.85546875" style="36" customWidth="1"/>
    <col min="15625" max="15626" width="14.28515625" style="36" customWidth="1"/>
    <col min="15627" max="15870" width="9.140625" style="36"/>
    <col min="15871" max="15871" width="5.140625" style="36" customWidth="1"/>
    <col min="15872" max="15872" width="9.140625" style="36"/>
    <col min="15873" max="15873" width="25.5703125" style="36" customWidth="1"/>
    <col min="15874" max="15875" width="13.5703125" style="36" customWidth="1"/>
    <col min="15876" max="15876" width="13.85546875" style="36" customWidth="1"/>
    <col min="15877" max="15880" width="14.85546875" style="36" customWidth="1"/>
    <col min="15881" max="15882" width="14.28515625" style="36" customWidth="1"/>
    <col min="15883" max="16126" width="9.140625" style="36"/>
    <col min="16127" max="16127" width="5.140625" style="36" customWidth="1"/>
    <col min="16128" max="16128" width="9.140625" style="36"/>
    <col min="16129" max="16129" width="25.5703125" style="36" customWidth="1"/>
    <col min="16130" max="16131" width="13.5703125" style="36" customWidth="1"/>
    <col min="16132" max="16132" width="13.85546875" style="36" customWidth="1"/>
    <col min="16133" max="16136" width="14.85546875" style="36" customWidth="1"/>
    <col min="16137" max="16138" width="14.28515625" style="36" customWidth="1"/>
    <col min="16139" max="16384" width="9.140625" style="36"/>
  </cols>
  <sheetData>
    <row r="1" spans="1:3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1" ht="15.75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31" ht="15.75">
      <c r="A3" s="279" t="s">
        <v>186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31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31" ht="30" customHeight="1" thickBot="1">
      <c r="A5" s="280" t="s">
        <v>1</v>
      </c>
      <c r="B5" s="285" t="s">
        <v>2</v>
      </c>
      <c r="C5" s="282" t="s">
        <v>22</v>
      </c>
      <c r="D5" s="283"/>
      <c r="E5" s="283"/>
      <c r="F5" s="284"/>
      <c r="G5" s="282" t="s">
        <v>170</v>
      </c>
      <c r="H5" s="283"/>
      <c r="I5" s="283"/>
      <c r="J5" s="284"/>
      <c r="K5" s="282" t="s">
        <v>25</v>
      </c>
      <c r="L5" s="283"/>
      <c r="M5" s="283"/>
      <c r="N5" s="283"/>
      <c r="O5" s="274" t="s">
        <v>169</v>
      </c>
      <c r="P5" s="275"/>
      <c r="Q5" s="275"/>
      <c r="R5" s="276"/>
      <c r="S5" s="269" t="s">
        <v>173</v>
      </c>
      <c r="T5" s="270"/>
      <c r="U5" s="270"/>
      <c r="V5" s="271"/>
      <c r="W5" s="269" t="s">
        <v>172</v>
      </c>
      <c r="X5" s="270"/>
      <c r="Y5" s="270"/>
      <c r="Z5" s="271"/>
      <c r="AA5" s="269" t="s">
        <v>171</v>
      </c>
      <c r="AB5" s="270"/>
      <c r="AC5" s="270"/>
      <c r="AD5" s="270"/>
      <c r="AE5" s="277" t="s">
        <v>187</v>
      </c>
    </row>
    <row r="6" spans="1:31" ht="48.75" customHeight="1" thickBot="1">
      <c r="A6" s="281"/>
      <c r="B6" s="286"/>
      <c r="C6" s="53" t="s">
        <v>23</v>
      </c>
      <c r="D6" s="53" t="s">
        <v>24</v>
      </c>
      <c r="E6" s="53" t="s">
        <v>183</v>
      </c>
      <c r="F6" s="53" t="s">
        <v>3</v>
      </c>
      <c r="G6" s="53" t="s">
        <v>23</v>
      </c>
      <c r="H6" s="53" t="s">
        <v>24</v>
      </c>
      <c r="I6" s="53" t="s">
        <v>184</v>
      </c>
      <c r="J6" s="53" t="s">
        <v>3</v>
      </c>
      <c r="K6" s="53" t="s">
        <v>23</v>
      </c>
      <c r="L6" s="53" t="s">
        <v>24</v>
      </c>
      <c r="M6" s="53" t="s">
        <v>183</v>
      </c>
      <c r="N6" s="54" t="s">
        <v>3</v>
      </c>
      <c r="O6" s="53" t="s">
        <v>23</v>
      </c>
      <c r="P6" s="53" t="s">
        <v>24</v>
      </c>
      <c r="Q6" s="53" t="s">
        <v>183</v>
      </c>
      <c r="R6" s="54" t="s">
        <v>3</v>
      </c>
      <c r="S6" s="53" t="s">
        <v>23</v>
      </c>
      <c r="T6" s="53" t="s">
        <v>24</v>
      </c>
      <c r="U6" s="53" t="s">
        <v>183</v>
      </c>
      <c r="V6" s="54" t="s">
        <v>3</v>
      </c>
      <c r="W6" s="53" t="s">
        <v>23</v>
      </c>
      <c r="X6" s="53" t="s">
        <v>24</v>
      </c>
      <c r="Y6" s="53" t="s">
        <v>182</v>
      </c>
      <c r="Z6" s="54" t="s">
        <v>3</v>
      </c>
      <c r="AA6" s="53" t="s">
        <v>23</v>
      </c>
      <c r="AB6" s="53" t="s">
        <v>24</v>
      </c>
      <c r="AC6" s="53" t="s">
        <v>182</v>
      </c>
      <c r="AD6" s="105" t="s">
        <v>3</v>
      </c>
      <c r="AE6" s="278"/>
    </row>
    <row r="7" spans="1:31" s="52" customFormat="1" ht="18.75" customHeight="1" thickBot="1">
      <c r="A7" s="44"/>
      <c r="B7" s="45">
        <v>1</v>
      </c>
      <c r="C7" s="45">
        <v>2</v>
      </c>
      <c r="D7" s="46">
        <v>3</v>
      </c>
      <c r="E7" s="46" t="s">
        <v>4</v>
      </c>
      <c r="F7" s="47" t="s">
        <v>5</v>
      </c>
      <c r="G7" s="47">
        <v>6</v>
      </c>
      <c r="H7" s="47">
        <v>7</v>
      </c>
      <c r="I7" s="48" t="s">
        <v>6</v>
      </c>
      <c r="J7" s="47" t="s">
        <v>7</v>
      </c>
      <c r="K7" s="47">
        <v>10</v>
      </c>
      <c r="L7" s="46">
        <v>11</v>
      </c>
      <c r="M7" s="49" t="s">
        <v>26</v>
      </c>
      <c r="N7" s="47" t="s">
        <v>27</v>
      </c>
      <c r="O7" s="50">
        <v>14</v>
      </c>
      <c r="P7" s="51">
        <v>15</v>
      </c>
      <c r="Q7" s="50" t="s">
        <v>174</v>
      </c>
      <c r="R7" s="51" t="s">
        <v>175</v>
      </c>
      <c r="S7" s="50">
        <v>18</v>
      </c>
      <c r="T7" s="51">
        <v>19</v>
      </c>
      <c r="U7" s="50" t="s">
        <v>176</v>
      </c>
      <c r="V7" s="51" t="s">
        <v>177</v>
      </c>
      <c r="W7" s="50">
        <v>22</v>
      </c>
      <c r="X7" s="51">
        <v>23</v>
      </c>
      <c r="Y7" s="50" t="s">
        <v>178</v>
      </c>
      <c r="Z7" s="51" t="s">
        <v>179</v>
      </c>
      <c r="AA7" s="50">
        <v>26</v>
      </c>
      <c r="AB7" s="51">
        <v>27</v>
      </c>
      <c r="AC7" s="50" t="s">
        <v>180</v>
      </c>
      <c r="AD7" s="106" t="s">
        <v>181</v>
      </c>
      <c r="AE7" s="108">
        <v>30</v>
      </c>
    </row>
    <row r="8" spans="1:31" ht="24" hidden="1" customHeight="1">
      <c r="A8" s="39"/>
      <c r="B8" s="40"/>
      <c r="C8" s="41"/>
      <c r="D8" s="41"/>
      <c r="E8" s="41"/>
      <c r="F8" s="42"/>
      <c r="G8" s="42"/>
      <c r="H8" s="42"/>
      <c r="I8" s="42"/>
      <c r="J8" s="42"/>
      <c r="K8" s="42"/>
      <c r="L8" s="42"/>
      <c r="M8" s="43"/>
      <c r="N8" s="43"/>
      <c r="O8" s="5"/>
      <c r="P8" s="5"/>
      <c r="Q8" s="5"/>
      <c r="R8" s="6"/>
      <c r="S8" s="37"/>
      <c r="T8" s="37"/>
      <c r="U8" s="37"/>
      <c r="V8" s="38"/>
      <c r="W8" s="37"/>
      <c r="X8" s="37"/>
      <c r="Y8" s="37"/>
      <c r="Z8" s="37"/>
      <c r="AA8" s="37"/>
      <c r="AB8" s="37"/>
      <c r="AC8" s="37"/>
      <c r="AD8" s="37"/>
    </row>
    <row r="9" spans="1:31" ht="17.100000000000001" customHeight="1">
      <c r="A9" s="7" t="s">
        <v>8</v>
      </c>
      <c r="B9" s="2" t="s">
        <v>28</v>
      </c>
      <c r="C9" s="8">
        <v>35386.800000000003</v>
      </c>
      <c r="D9" s="8">
        <v>35053.4</v>
      </c>
      <c r="E9" s="8">
        <f>D9-C9</f>
        <v>-333.40000000000146</v>
      </c>
      <c r="F9" s="9">
        <f>D9/C9*100</f>
        <v>99.057840776786819</v>
      </c>
      <c r="G9" s="8">
        <v>119506</v>
      </c>
      <c r="H9" s="8">
        <v>118731.3</v>
      </c>
      <c r="I9" s="8">
        <f>H9-G9</f>
        <v>-774.69999999999709</v>
      </c>
      <c r="J9" s="9">
        <f>H9/G9*100</f>
        <v>99.351748029387636</v>
      </c>
      <c r="K9" s="9">
        <v>-2103</v>
      </c>
      <c r="L9" s="8">
        <v>-6105.8</v>
      </c>
      <c r="M9" s="9">
        <f>L9-K9</f>
        <v>-4002.8</v>
      </c>
      <c r="N9" s="9">
        <f>L9/K9*100</f>
        <v>290.33761293390398</v>
      </c>
      <c r="O9" s="10">
        <v>-84119.2</v>
      </c>
      <c r="P9" s="10">
        <v>-83677.899999999994</v>
      </c>
      <c r="Q9" s="10">
        <f>P9-O9</f>
        <v>441.30000000000291</v>
      </c>
      <c r="R9" s="11">
        <f>P9/O9*100</f>
        <v>99.47538730753503</v>
      </c>
      <c r="S9" s="10">
        <v>2881</v>
      </c>
      <c r="T9" s="10">
        <v>2448.9</v>
      </c>
      <c r="U9" s="10">
        <f>T9-S9</f>
        <v>-432.09999999999991</v>
      </c>
      <c r="V9" s="11">
        <f>T9/S9*100</f>
        <v>85.001735508503998</v>
      </c>
      <c r="W9" s="10">
        <f>6027.4+11.6</f>
        <v>6039</v>
      </c>
      <c r="X9" s="10">
        <f>136.9+6934.6+200.7</f>
        <v>7272.2</v>
      </c>
      <c r="Y9" s="10">
        <f>X9-W9</f>
        <v>1233.1999999999998</v>
      </c>
      <c r="Z9" s="12">
        <f>X9/W9*100</f>
        <v>120.42059943699289</v>
      </c>
      <c r="AA9" s="10">
        <v>-87277.3</v>
      </c>
      <c r="AB9" s="10">
        <v>-88501.3</v>
      </c>
      <c r="AC9" s="10">
        <f>AB9-AA9</f>
        <v>-1224</v>
      </c>
      <c r="AD9" s="11">
        <f>AB9/AA9*100</f>
        <v>101.40242651869387</v>
      </c>
      <c r="AE9" s="107">
        <f>L9*100/D9</f>
        <v>-17.418567100480981</v>
      </c>
    </row>
    <row r="10" spans="1:31" ht="17.100000000000001" customHeight="1" thickBot="1">
      <c r="A10" s="13" t="s">
        <v>9</v>
      </c>
      <c r="B10" s="3" t="s">
        <v>29</v>
      </c>
      <c r="C10" s="14">
        <v>279187.7</v>
      </c>
      <c r="D10" s="15">
        <v>313484.90000000002</v>
      </c>
      <c r="E10" s="14">
        <f t="shared" ref="E10:E73" si="0">D10-C10</f>
        <v>34297.200000000012</v>
      </c>
      <c r="F10" s="15">
        <f t="shared" ref="F10:F73" si="1">D10/C10*100</f>
        <v>112.28463861409368</v>
      </c>
      <c r="G10" s="15">
        <v>278357.40000000002</v>
      </c>
      <c r="H10" s="15">
        <v>325193.7</v>
      </c>
      <c r="I10" s="14">
        <f t="shared" ref="I10:I13" si="2">H10-G10</f>
        <v>46836.299999999988</v>
      </c>
      <c r="J10" s="15">
        <f t="shared" ref="J10:J73" si="3">H10/G10*100</f>
        <v>116.82595828240959</v>
      </c>
      <c r="K10" s="15">
        <v>-12554</v>
      </c>
      <c r="L10" s="15">
        <v>-32677.5</v>
      </c>
      <c r="M10" s="15">
        <f t="shared" ref="M10:M73" si="4">L10-K10</f>
        <v>-20123.5</v>
      </c>
      <c r="N10" s="15">
        <f t="shared" ref="N10:N73" si="5">L10/K10*100</f>
        <v>260.29552333917479</v>
      </c>
      <c r="O10" s="16">
        <v>830.3</v>
      </c>
      <c r="P10" s="16">
        <v>-11708.9</v>
      </c>
      <c r="Q10" s="16">
        <f t="shared" ref="Q10:Q73" si="6">P10-O10</f>
        <v>-12539.199999999999</v>
      </c>
      <c r="R10" s="17">
        <f t="shared" ref="R10:R73" si="7">P10/O10*100</f>
        <v>-1410.2011321209202</v>
      </c>
      <c r="S10" s="16">
        <v>6940.9</v>
      </c>
      <c r="T10" s="16">
        <v>7089</v>
      </c>
      <c r="U10" s="16">
        <f t="shared" ref="U10:U73" si="8">T10-S10</f>
        <v>148.10000000000036</v>
      </c>
      <c r="V10" s="17">
        <f t="shared" ref="V10:V73" si="9">T10/S10*100</f>
        <v>102.13372905530984</v>
      </c>
      <c r="W10" s="16">
        <f>348.1+14977.8+5943.4</f>
        <v>21269.3</v>
      </c>
      <c r="X10" s="16">
        <f>394.5+18142.8+7808.5</f>
        <v>26345.8</v>
      </c>
      <c r="Y10" s="16">
        <f t="shared" ref="Y10:Y73" si="10">X10-W10</f>
        <v>5076.5</v>
      </c>
      <c r="Z10" s="18">
        <f t="shared" ref="Z10:Z73" si="11">X10/W10*100</f>
        <v>123.86773424607298</v>
      </c>
      <c r="AA10" s="16">
        <v>-13498.3</v>
      </c>
      <c r="AB10" s="16">
        <v>-30965.7</v>
      </c>
      <c r="AC10" s="16">
        <f t="shared" ref="AC10:AC73" si="12">AB10-AA10</f>
        <v>-17467.400000000001</v>
      </c>
      <c r="AD10" s="17">
        <f t="shared" ref="AD10:AD73" si="13">AB10/AA10*100</f>
        <v>229.40444352251768</v>
      </c>
      <c r="AE10" s="110">
        <f t="shared" ref="AE10:AE73" si="14">L10*100/D10</f>
        <v>-10.423947054547124</v>
      </c>
    </row>
    <row r="11" spans="1:31" s="65" customFormat="1" ht="22.5" customHeight="1" thickBot="1">
      <c r="A11" s="272" t="s">
        <v>30</v>
      </c>
      <c r="B11" s="273"/>
      <c r="C11" s="55">
        <f t="shared" ref="C11:D11" si="15">SUM(C9:C10)</f>
        <v>314574.5</v>
      </c>
      <c r="D11" s="55">
        <f t="shared" si="15"/>
        <v>348538.30000000005</v>
      </c>
      <c r="E11" s="56">
        <f t="shared" si="0"/>
        <v>33963.800000000047</v>
      </c>
      <c r="F11" s="57">
        <f t="shared" si="1"/>
        <v>110.79674290191991</v>
      </c>
      <c r="G11" s="55">
        <f t="shared" ref="G11:H11" si="16">SUM(G9:G10)</f>
        <v>397863.4</v>
      </c>
      <c r="H11" s="58">
        <f t="shared" si="16"/>
        <v>443925</v>
      </c>
      <c r="I11" s="56">
        <f t="shared" si="2"/>
        <v>46061.599999999977</v>
      </c>
      <c r="J11" s="57">
        <f t="shared" si="3"/>
        <v>111.57723982653343</v>
      </c>
      <c r="K11" s="55">
        <f t="shared" ref="K11:L11" si="17">SUM(K9:K10)</f>
        <v>-14657</v>
      </c>
      <c r="L11" s="55">
        <f t="shared" si="17"/>
        <v>-38783.300000000003</v>
      </c>
      <c r="M11" s="57">
        <f t="shared" si="4"/>
        <v>-24126.300000000003</v>
      </c>
      <c r="N11" s="57">
        <f t="shared" si="5"/>
        <v>264.6059903117964</v>
      </c>
      <c r="O11" s="55">
        <f t="shared" ref="O11:P11" si="18">SUM(O9:O10)</f>
        <v>-83288.899999999994</v>
      </c>
      <c r="P11" s="55">
        <f t="shared" si="18"/>
        <v>-95386.799999999988</v>
      </c>
      <c r="Q11" s="59">
        <f t="shared" si="6"/>
        <v>-12097.899999999994</v>
      </c>
      <c r="R11" s="60">
        <f t="shared" si="7"/>
        <v>114.52522484988997</v>
      </c>
      <c r="S11" s="55">
        <f t="shared" ref="S11:T11" si="19">SUM(S9:S10)</f>
        <v>9821.9</v>
      </c>
      <c r="T11" s="61">
        <f t="shared" si="19"/>
        <v>9537.9</v>
      </c>
      <c r="U11" s="62">
        <f t="shared" si="8"/>
        <v>-284</v>
      </c>
      <c r="V11" s="60">
        <f t="shared" si="9"/>
        <v>97.108502428247078</v>
      </c>
      <c r="W11" s="55">
        <f t="shared" ref="W11:X11" si="20">SUM(W9:W10)</f>
        <v>27308.3</v>
      </c>
      <c r="X11" s="55">
        <f t="shared" si="20"/>
        <v>33618</v>
      </c>
      <c r="Y11" s="59">
        <f t="shared" si="10"/>
        <v>6309.7000000000007</v>
      </c>
      <c r="Z11" s="63">
        <f t="shared" si="11"/>
        <v>123.10542948480865</v>
      </c>
      <c r="AA11" s="55">
        <f t="shared" ref="AA11:AB11" si="21">SUM(AA9:AA10)</f>
        <v>-100775.6</v>
      </c>
      <c r="AB11" s="55">
        <f t="shared" si="21"/>
        <v>-119467</v>
      </c>
      <c r="AC11" s="59">
        <f t="shared" si="12"/>
        <v>-18691.399999999994</v>
      </c>
      <c r="AD11" s="60">
        <f t="shared" si="13"/>
        <v>118.54754523912534</v>
      </c>
      <c r="AE11" s="112">
        <f t="shared" si="14"/>
        <v>-11.127414117759798</v>
      </c>
    </row>
    <row r="12" spans="1:31" ht="24" customHeight="1">
      <c r="A12" s="19" t="s">
        <v>10</v>
      </c>
      <c r="B12" s="4" t="s">
        <v>31</v>
      </c>
      <c r="C12" s="20">
        <v>20455.599999999999</v>
      </c>
      <c r="D12" s="21">
        <v>16810.8</v>
      </c>
      <c r="E12" s="20">
        <f t="shared" si="0"/>
        <v>-3644.7999999999993</v>
      </c>
      <c r="F12" s="21">
        <f t="shared" si="1"/>
        <v>82.18189640000783</v>
      </c>
      <c r="G12" s="21">
        <v>19484.2</v>
      </c>
      <c r="H12" s="21">
        <v>16168.7</v>
      </c>
      <c r="I12" s="20">
        <f t="shared" si="2"/>
        <v>-3315.5</v>
      </c>
      <c r="J12" s="21">
        <f t="shared" si="3"/>
        <v>82.983648289383197</v>
      </c>
      <c r="K12" s="20">
        <v>1278.3</v>
      </c>
      <c r="L12" s="21">
        <v>706.2</v>
      </c>
      <c r="M12" s="21">
        <f t="shared" si="4"/>
        <v>-572.09999999999991</v>
      </c>
      <c r="N12" s="21">
        <f t="shared" si="5"/>
        <v>55.245247594461397</v>
      </c>
      <c r="O12" s="22">
        <v>971.4</v>
      </c>
      <c r="P12" s="22">
        <v>642.1</v>
      </c>
      <c r="Q12" s="22">
        <f t="shared" si="6"/>
        <v>-329.29999999999995</v>
      </c>
      <c r="R12" s="23">
        <f t="shared" si="7"/>
        <v>66.100473543339504</v>
      </c>
      <c r="S12" s="22">
        <v>1335.8</v>
      </c>
      <c r="T12" s="22">
        <v>0.1</v>
      </c>
      <c r="U12" s="22">
        <f t="shared" si="8"/>
        <v>-1335.7</v>
      </c>
      <c r="V12" s="23">
        <f t="shared" si="9"/>
        <v>7.4861506213505019E-3</v>
      </c>
      <c r="W12" s="22">
        <f>229.3+651.6</f>
        <v>880.90000000000009</v>
      </c>
      <c r="X12" s="22">
        <f>226.9+2.5</f>
        <v>229.4</v>
      </c>
      <c r="Y12" s="22">
        <f t="shared" si="10"/>
        <v>-651.50000000000011</v>
      </c>
      <c r="Z12" s="24">
        <f t="shared" si="11"/>
        <v>26.041548416392324</v>
      </c>
      <c r="AA12" s="22">
        <v>1426.2</v>
      </c>
      <c r="AB12" s="22">
        <v>413.3</v>
      </c>
      <c r="AC12" s="22">
        <f t="shared" si="12"/>
        <v>-1012.9000000000001</v>
      </c>
      <c r="AD12" s="23">
        <f t="shared" si="13"/>
        <v>28.979105314822608</v>
      </c>
      <c r="AE12" s="111">
        <f t="shared" si="14"/>
        <v>4.2008708687272467</v>
      </c>
    </row>
    <row r="13" spans="1:31" ht="24.75" customHeight="1">
      <c r="A13" s="7" t="s">
        <v>11</v>
      </c>
      <c r="B13" s="2" t="s">
        <v>32</v>
      </c>
      <c r="C13" s="8">
        <v>46656.7</v>
      </c>
      <c r="D13" s="9">
        <v>47420.3</v>
      </c>
      <c r="E13" s="8">
        <f t="shared" si="0"/>
        <v>763.60000000000582</v>
      </c>
      <c r="F13" s="9">
        <f t="shared" si="1"/>
        <v>101.63663525281473</v>
      </c>
      <c r="G13" s="9">
        <v>44088.6</v>
      </c>
      <c r="H13" s="9">
        <v>40851.699999999997</v>
      </c>
      <c r="I13" s="8">
        <f t="shared" si="2"/>
        <v>-3236.9000000000015</v>
      </c>
      <c r="J13" s="9">
        <f t="shared" si="3"/>
        <v>92.658192820819892</v>
      </c>
      <c r="K13" s="8">
        <v>448.9</v>
      </c>
      <c r="L13" s="9">
        <v>292.39999999999998</v>
      </c>
      <c r="M13" s="9">
        <f t="shared" si="4"/>
        <v>-156.5</v>
      </c>
      <c r="N13" s="9">
        <f t="shared" si="5"/>
        <v>65.137001559367334</v>
      </c>
      <c r="O13" s="10">
        <v>2568.1</v>
      </c>
      <c r="P13" s="10">
        <v>6568.6</v>
      </c>
      <c r="Q13" s="10">
        <f t="shared" si="6"/>
        <v>4000.5000000000005</v>
      </c>
      <c r="R13" s="11">
        <f t="shared" si="7"/>
        <v>255.77664421167401</v>
      </c>
      <c r="S13" s="10">
        <v>5709.8</v>
      </c>
      <c r="T13" s="10">
        <v>5958.1</v>
      </c>
      <c r="U13" s="10">
        <f t="shared" si="8"/>
        <v>248.30000000000018</v>
      </c>
      <c r="V13" s="11">
        <f t="shared" si="9"/>
        <v>104.34866370100528</v>
      </c>
      <c r="W13" s="10">
        <f>3891.1+4875.5</f>
        <v>8766.6</v>
      </c>
      <c r="X13" s="10">
        <f>7212.3+5066.1</f>
        <v>12278.400000000001</v>
      </c>
      <c r="Y13" s="10">
        <f t="shared" si="10"/>
        <v>3511.8000000000011</v>
      </c>
      <c r="Z13" s="12">
        <f t="shared" si="11"/>
        <v>140.05885976319212</v>
      </c>
      <c r="AA13" s="10">
        <v>-488.7</v>
      </c>
      <c r="AB13" s="10">
        <v>248.3</v>
      </c>
      <c r="AC13" s="10">
        <f t="shared" si="12"/>
        <v>737</v>
      </c>
      <c r="AD13" s="11">
        <f t="shared" si="13"/>
        <v>-50.808266830366279</v>
      </c>
      <c r="AE13" s="109">
        <f t="shared" si="14"/>
        <v>0.61661356001543632</v>
      </c>
    </row>
    <row r="14" spans="1:31" ht="31.5" customHeight="1">
      <c r="A14" s="19" t="s">
        <v>12</v>
      </c>
      <c r="B14" s="2" t="s">
        <v>33</v>
      </c>
      <c r="C14" s="9">
        <v>191717.8</v>
      </c>
      <c r="D14" s="9">
        <v>106498</v>
      </c>
      <c r="E14" s="8">
        <f t="shared" si="0"/>
        <v>-85219.799999999988</v>
      </c>
      <c r="F14" s="9">
        <f t="shared" si="1"/>
        <v>55.549354311388932</v>
      </c>
      <c r="G14" s="9">
        <v>177927.4</v>
      </c>
      <c r="H14" s="9">
        <v>105163.6</v>
      </c>
      <c r="I14" s="9">
        <f t="shared" ref="I14:I77" si="22">H14-G14</f>
        <v>-72763.799999999988</v>
      </c>
      <c r="J14" s="9">
        <f t="shared" si="3"/>
        <v>59.104780938742444</v>
      </c>
      <c r="K14" s="9">
        <v>340.4</v>
      </c>
      <c r="L14" s="9">
        <v>-11734.9</v>
      </c>
      <c r="M14" s="9">
        <f t="shared" si="4"/>
        <v>-12075.3</v>
      </c>
      <c r="N14" s="9">
        <f t="shared" si="5"/>
        <v>-3447.3854289071683</v>
      </c>
      <c r="O14" s="12">
        <f>C14-G14</f>
        <v>13790.399999999994</v>
      </c>
      <c r="P14" s="12">
        <f>D14-H14</f>
        <v>1334.3999999999942</v>
      </c>
      <c r="Q14" s="10">
        <f t="shared" si="6"/>
        <v>-12456</v>
      </c>
      <c r="R14" s="11">
        <f t="shared" si="7"/>
        <v>9.6762965541245709</v>
      </c>
      <c r="S14" s="10">
        <v>452.4</v>
      </c>
      <c r="T14" s="10">
        <v>169.8</v>
      </c>
      <c r="U14" s="10">
        <f t="shared" si="8"/>
        <v>-282.59999999999997</v>
      </c>
      <c r="V14" s="11">
        <f t="shared" si="9"/>
        <v>37.53315649867374</v>
      </c>
      <c r="W14" s="10">
        <f>10378.9+3091.4</f>
        <v>13470.3</v>
      </c>
      <c r="X14" s="10">
        <f>10351+2887.5</f>
        <v>13238.5</v>
      </c>
      <c r="Y14" s="10">
        <f t="shared" si="10"/>
        <v>-231.79999999999927</v>
      </c>
      <c r="Z14" s="12">
        <f t="shared" si="11"/>
        <v>98.279177152698907</v>
      </c>
      <c r="AA14" s="10">
        <v>772.5</v>
      </c>
      <c r="AB14" s="10">
        <v>-11734.3</v>
      </c>
      <c r="AC14" s="10">
        <f t="shared" si="12"/>
        <v>-12506.8</v>
      </c>
      <c r="AD14" s="11">
        <f t="shared" si="13"/>
        <v>-1519.0032362459544</v>
      </c>
      <c r="AE14" s="109">
        <f t="shared" si="14"/>
        <v>-11.0188923735657</v>
      </c>
    </row>
    <row r="15" spans="1:31" ht="17.100000000000001" customHeight="1">
      <c r="A15" s="7" t="s">
        <v>13</v>
      </c>
      <c r="B15" s="2" t="s">
        <v>34</v>
      </c>
      <c r="C15" s="8">
        <v>76586.399999999994</v>
      </c>
      <c r="D15" s="9">
        <v>78382.5</v>
      </c>
      <c r="E15" s="8">
        <f t="shared" si="0"/>
        <v>1796.1000000000058</v>
      </c>
      <c r="F15" s="9">
        <f t="shared" si="1"/>
        <v>102.34519444705587</v>
      </c>
      <c r="G15" s="9">
        <v>56876.9</v>
      </c>
      <c r="H15" s="9">
        <v>56144</v>
      </c>
      <c r="I15" s="9">
        <f t="shared" si="22"/>
        <v>-732.90000000000146</v>
      </c>
      <c r="J15" s="9">
        <f t="shared" si="3"/>
        <v>98.711427662196783</v>
      </c>
      <c r="K15" s="8">
        <v>2218.1</v>
      </c>
      <c r="L15" s="9">
        <v>3324</v>
      </c>
      <c r="M15" s="9">
        <f t="shared" si="4"/>
        <v>1105.9000000000001</v>
      </c>
      <c r="N15" s="9">
        <f t="shared" si="5"/>
        <v>149.85798656507822</v>
      </c>
      <c r="O15" s="12">
        <f t="shared" ref="O15:O78" si="23">C15-G15</f>
        <v>19709.499999999993</v>
      </c>
      <c r="P15" s="12">
        <f t="shared" ref="P15:P78" si="24">D15-H15</f>
        <v>22238.5</v>
      </c>
      <c r="Q15" s="10">
        <f t="shared" si="6"/>
        <v>2529.0000000000073</v>
      </c>
      <c r="R15" s="11">
        <f t="shared" si="7"/>
        <v>112.83137573251483</v>
      </c>
      <c r="S15" s="10">
        <v>922.9</v>
      </c>
      <c r="T15" s="10">
        <v>1021.4</v>
      </c>
      <c r="U15" s="10">
        <f t="shared" si="8"/>
        <v>98.5</v>
      </c>
      <c r="V15" s="11">
        <f t="shared" si="9"/>
        <v>110.67287896846895</v>
      </c>
      <c r="W15" s="10">
        <f>60.1+14554.8+3114.8</f>
        <v>17729.7</v>
      </c>
      <c r="X15" s="10">
        <f>0.1+15949.6+3259.9</f>
        <v>19209.600000000002</v>
      </c>
      <c r="Y15" s="10">
        <f t="shared" si="10"/>
        <v>1479.9000000000015</v>
      </c>
      <c r="Z15" s="12">
        <f t="shared" si="11"/>
        <v>108.34701094773177</v>
      </c>
      <c r="AA15" s="10">
        <v>2902.6</v>
      </c>
      <c r="AB15" s="10">
        <v>4050.3</v>
      </c>
      <c r="AC15" s="10">
        <f t="shared" si="12"/>
        <v>1147.7000000000003</v>
      </c>
      <c r="AD15" s="11">
        <f t="shared" si="13"/>
        <v>139.54041204437402</v>
      </c>
      <c r="AE15" s="109">
        <f t="shared" si="14"/>
        <v>4.2407425126782128</v>
      </c>
    </row>
    <row r="16" spans="1:31" ht="24" customHeight="1">
      <c r="A16" s="19" t="s">
        <v>14</v>
      </c>
      <c r="B16" s="2" t="s">
        <v>35</v>
      </c>
      <c r="C16" s="9">
        <v>74179.3</v>
      </c>
      <c r="D16" s="25">
        <v>79344.5</v>
      </c>
      <c r="E16" s="8">
        <f t="shared" si="0"/>
        <v>5165.1999999999971</v>
      </c>
      <c r="F16" s="9">
        <f t="shared" si="1"/>
        <v>106.96312852776988</v>
      </c>
      <c r="G16" s="25">
        <v>69349.899999999994</v>
      </c>
      <c r="H16" s="25">
        <v>72318.5</v>
      </c>
      <c r="I16" s="9">
        <f t="shared" si="22"/>
        <v>2968.6000000000058</v>
      </c>
      <c r="J16" s="9">
        <f t="shared" si="3"/>
        <v>104.28061179612374</v>
      </c>
      <c r="K16" s="9">
        <v>839.1</v>
      </c>
      <c r="L16" s="25">
        <v>2816.2</v>
      </c>
      <c r="M16" s="9">
        <f t="shared" si="4"/>
        <v>1977.1</v>
      </c>
      <c r="N16" s="9">
        <f t="shared" si="5"/>
        <v>335.62149922536048</v>
      </c>
      <c r="O16" s="12">
        <f t="shared" si="23"/>
        <v>4829.4000000000087</v>
      </c>
      <c r="P16" s="12">
        <f t="shared" si="24"/>
        <v>7026</v>
      </c>
      <c r="Q16" s="10">
        <f t="shared" si="6"/>
        <v>2196.5999999999913</v>
      </c>
      <c r="R16" s="11">
        <f t="shared" si="7"/>
        <v>145.48391104485003</v>
      </c>
      <c r="S16" s="10">
        <v>277.3</v>
      </c>
      <c r="T16" s="10">
        <v>204.2</v>
      </c>
      <c r="U16" s="10">
        <f t="shared" si="8"/>
        <v>-73.100000000000023</v>
      </c>
      <c r="V16" s="11">
        <f t="shared" si="9"/>
        <v>73.638658492607277</v>
      </c>
      <c r="W16" s="10">
        <f>3603.5+578.3</f>
        <v>4181.8</v>
      </c>
      <c r="X16" s="10">
        <f>3840+134.8</f>
        <v>3974.8</v>
      </c>
      <c r="Y16" s="10">
        <f t="shared" si="10"/>
        <v>-207</v>
      </c>
      <c r="Z16" s="12">
        <f t="shared" si="11"/>
        <v>95.04997847816729</v>
      </c>
      <c r="AA16" s="12">
        <f>O16+S16-W16</f>
        <v>924.90000000000873</v>
      </c>
      <c r="AB16" s="12">
        <f>P16+T16-X16</f>
        <v>3255.3999999999996</v>
      </c>
      <c r="AC16" s="10">
        <f t="shared" si="12"/>
        <v>2330.4999999999909</v>
      </c>
      <c r="AD16" s="11">
        <f t="shared" si="13"/>
        <v>351.97318629040637</v>
      </c>
      <c r="AE16" s="109">
        <f t="shared" si="14"/>
        <v>3.5493323418762484</v>
      </c>
    </row>
    <row r="17" spans="1:31" ht="17.100000000000001" customHeight="1">
      <c r="A17" s="7" t="s">
        <v>15</v>
      </c>
      <c r="B17" s="2" t="s">
        <v>36</v>
      </c>
      <c r="C17" s="9">
        <v>45425.599999999999</v>
      </c>
      <c r="D17" s="9">
        <v>46764.4</v>
      </c>
      <c r="E17" s="8">
        <f t="shared" si="0"/>
        <v>1338.8000000000029</v>
      </c>
      <c r="F17" s="9">
        <f t="shared" si="1"/>
        <v>102.94723680039451</v>
      </c>
      <c r="G17" s="9">
        <v>27424.9</v>
      </c>
      <c r="H17" s="9">
        <v>27350.7</v>
      </c>
      <c r="I17" s="9">
        <f t="shared" si="22"/>
        <v>-74.200000000000728</v>
      </c>
      <c r="J17" s="9">
        <f t="shared" si="3"/>
        <v>99.729442951478404</v>
      </c>
      <c r="K17" s="9">
        <v>8322.9</v>
      </c>
      <c r="L17" s="9">
        <v>10189.9</v>
      </c>
      <c r="M17" s="9">
        <f t="shared" si="4"/>
        <v>1867</v>
      </c>
      <c r="N17" s="9">
        <f t="shared" si="5"/>
        <v>122.43208497038292</v>
      </c>
      <c r="O17" s="12">
        <f t="shared" si="23"/>
        <v>18000.699999999997</v>
      </c>
      <c r="P17" s="12">
        <f t="shared" si="24"/>
        <v>19413.7</v>
      </c>
      <c r="Q17" s="10">
        <f t="shared" si="6"/>
        <v>1413.0000000000036</v>
      </c>
      <c r="R17" s="11">
        <f t="shared" si="7"/>
        <v>107.84969473409369</v>
      </c>
      <c r="S17" s="10">
        <v>886.6</v>
      </c>
      <c r="T17" s="10">
        <v>975.1</v>
      </c>
      <c r="U17" s="10">
        <f t="shared" si="8"/>
        <v>88.5</v>
      </c>
      <c r="V17" s="11">
        <f t="shared" si="9"/>
        <v>109.98195353034063</v>
      </c>
      <c r="W17" s="10">
        <f>5606.8+5101+1118.3</f>
        <v>11826.099999999999</v>
      </c>
      <c r="X17" s="10">
        <f>5690.6+5218+477.7</f>
        <v>11386.300000000001</v>
      </c>
      <c r="Y17" s="10">
        <f t="shared" si="10"/>
        <v>-439.79999999999745</v>
      </c>
      <c r="Z17" s="12">
        <f t="shared" si="11"/>
        <v>96.281107042896664</v>
      </c>
      <c r="AA17" s="12">
        <f t="shared" ref="AA17:AA80" si="25">O17+S17-W17</f>
        <v>7061.1999999999971</v>
      </c>
      <c r="AB17" s="12">
        <f t="shared" ref="AB17:AB80" si="26">P17+T17-X17</f>
        <v>9002.4999999999982</v>
      </c>
      <c r="AC17" s="10">
        <f t="shared" si="12"/>
        <v>1941.3000000000011</v>
      </c>
      <c r="AD17" s="11">
        <f t="shared" si="13"/>
        <v>127.4924941936215</v>
      </c>
      <c r="AE17" s="109">
        <f t="shared" si="14"/>
        <v>21.789865795348597</v>
      </c>
    </row>
    <row r="18" spans="1:31" ht="17.100000000000001" customHeight="1">
      <c r="A18" s="19" t="s">
        <v>16</v>
      </c>
      <c r="B18" s="2" t="s">
        <v>37</v>
      </c>
      <c r="C18" s="8">
        <v>36266.400000000001</v>
      </c>
      <c r="D18" s="9">
        <v>40269.800000000003</v>
      </c>
      <c r="E18" s="8">
        <f t="shared" si="0"/>
        <v>4003.4000000000015</v>
      </c>
      <c r="F18" s="9">
        <f t="shared" si="1"/>
        <v>111.03886793285244</v>
      </c>
      <c r="G18" s="9">
        <v>27888.400000000001</v>
      </c>
      <c r="H18" s="9">
        <v>31198</v>
      </c>
      <c r="I18" s="9">
        <f t="shared" si="22"/>
        <v>3309.5999999999985</v>
      </c>
      <c r="J18" s="9">
        <f t="shared" si="3"/>
        <v>111.86729966581086</v>
      </c>
      <c r="K18" s="8">
        <v>225.2</v>
      </c>
      <c r="L18" s="9">
        <v>725.2</v>
      </c>
      <c r="M18" s="9">
        <f t="shared" si="4"/>
        <v>500.00000000000006</v>
      </c>
      <c r="N18" s="9">
        <f t="shared" si="5"/>
        <v>322.02486678507995</v>
      </c>
      <c r="O18" s="12">
        <f t="shared" si="23"/>
        <v>8378</v>
      </c>
      <c r="P18" s="12">
        <f t="shared" si="24"/>
        <v>9071.8000000000029</v>
      </c>
      <c r="Q18" s="10">
        <f t="shared" si="6"/>
        <v>693.80000000000291</v>
      </c>
      <c r="R18" s="11">
        <f t="shared" si="7"/>
        <v>108.2812126999284</v>
      </c>
      <c r="S18" s="10">
        <v>118.1</v>
      </c>
      <c r="T18" s="10">
        <v>84.6</v>
      </c>
      <c r="U18" s="10">
        <f t="shared" si="8"/>
        <v>-33.5</v>
      </c>
      <c r="V18" s="11">
        <f t="shared" si="9"/>
        <v>71.634208298052499</v>
      </c>
      <c r="W18" s="10">
        <f>8079.9+55.1</f>
        <v>8135</v>
      </c>
      <c r="X18" s="10">
        <f>8191.6+24.6</f>
        <v>8216.2000000000007</v>
      </c>
      <c r="Y18" s="10">
        <f t="shared" si="10"/>
        <v>81.200000000000728</v>
      </c>
      <c r="Z18" s="12">
        <f t="shared" si="11"/>
        <v>100.9981561155501</v>
      </c>
      <c r="AA18" s="12">
        <f t="shared" si="25"/>
        <v>361.10000000000036</v>
      </c>
      <c r="AB18" s="12">
        <f t="shared" si="26"/>
        <v>940.20000000000255</v>
      </c>
      <c r="AC18" s="10">
        <f t="shared" si="12"/>
        <v>579.10000000000218</v>
      </c>
      <c r="AD18" s="11">
        <f t="shared" si="13"/>
        <v>260.37108834118021</v>
      </c>
      <c r="AE18" s="109">
        <f t="shared" si="14"/>
        <v>1.8008532448633963</v>
      </c>
    </row>
    <row r="19" spans="1:31" ht="17.100000000000001" customHeight="1">
      <c r="A19" s="7" t="s">
        <v>17</v>
      </c>
      <c r="B19" s="2" t="s">
        <v>38</v>
      </c>
      <c r="C19" s="8">
        <v>8400.6</v>
      </c>
      <c r="D19" s="9">
        <v>8761.2000000000007</v>
      </c>
      <c r="E19" s="8">
        <f t="shared" si="0"/>
        <v>360.60000000000036</v>
      </c>
      <c r="F19" s="9">
        <f t="shared" si="1"/>
        <v>104.29255053210484</v>
      </c>
      <c r="G19" s="9">
        <v>5641.3</v>
      </c>
      <c r="H19" s="9">
        <v>5512.6</v>
      </c>
      <c r="I19" s="9">
        <f t="shared" si="22"/>
        <v>-128.69999999999982</v>
      </c>
      <c r="J19" s="9">
        <f t="shared" si="3"/>
        <v>97.718610958467025</v>
      </c>
      <c r="K19" s="8">
        <v>180.7</v>
      </c>
      <c r="L19" s="9">
        <v>241.1</v>
      </c>
      <c r="M19" s="9">
        <f t="shared" si="4"/>
        <v>60.400000000000006</v>
      </c>
      <c r="N19" s="9">
        <f t="shared" si="5"/>
        <v>133.42556723851689</v>
      </c>
      <c r="O19" s="12">
        <f t="shared" si="23"/>
        <v>2759.3</v>
      </c>
      <c r="P19" s="12">
        <f t="shared" si="24"/>
        <v>3248.6000000000004</v>
      </c>
      <c r="Q19" s="10">
        <f t="shared" si="6"/>
        <v>489.30000000000018</v>
      </c>
      <c r="R19" s="11">
        <f t="shared" si="7"/>
        <v>117.7327583082666</v>
      </c>
      <c r="S19" s="10">
        <v>1274.9000000000001</v>
      </c>
      <c r="T19" s="10">
        <v>717.9</v>
      </c>
      <c r="U19" s="10">
        <f t="shared" si="8"/>
        <v>-557.00000000000011</v>
      </c>
      <c r="V19" s="11">
        <f t="shared" si="9"/>
        <v>56.310298846968386</v>
      </c>
      <c r="W19" s="10">
        <f>3320.5+350.4</f>
        <v>3670.9</v>
      </c>
      <c r="X19" s="10">
        <f>2883+754.1</f>
        <v>3637.1</v>
      </c>
      <c r="Y19" s="10">
        <f t="shared" si="10"/>
        <v>-33.800000000000182</v>
      </c>
      <c r="Z19" s="12">
        <f t="shared" si="11"/>
        <v>99.0792448718298</v>
      </c>
      <c r="AA19" s="12">
        <f t="shared" si="25"/>
        <v>363.30000000000018</v>
      </c>
      <c r="AB19" s="12">
        <f t="shared" si="26"/>
        <v>329.40000000000055</v>
      </c>
      <c r="AC19" s="10">
        <f t="shared" si="12"/>
        <v>-33.899999999999636</v>
      </c>
      <c r="AD19" s="11">
        <f t="shared" si="13"/>
        <v>90.668868703550885</v>
      </c>
      <c r="AE19" s="109">
        <f t="shared" si="14"/>
        <v>2.7519061315801485</v>
      </c>
    </row>
    <row r="20" spans="1:31" ht="17.100000000000001" customHeight="1">
      <c r="A20" s="19" t="s">
        <v>18</v>
      </c>
      <c r="B20" s="2" t="s">
        <v>39</v>
      </c>
      <c r="C20" s="8">
        <v>1372.5</v>
      </c>
      <c r="D20" s="25">
        <v>1428.9</v>
      </c>
      <c r="E20" s="8">
        <f t="shared" si="0"/>
        <v>56.400000000000091</v>
      </c>
      <c r="F20" s="9">
        <f t="shared" si="1"/>
        <v>104.10928961748635</v>
      </c>
      <c r="G20" s="25">
        <v>1172.0999999999999</v>
      </c>
      <c r="H20" s="25">
        <v>1209.8</v>
      </c>
      <c r="I20" s="9">
        <f t="shared" si="22"/>
        <v>37.700000000000045</v>
      </c>
      <c r="J20" s="9">
        <f t="shared" si="3"/>
        <v>103.21644910843786</v>
      </c>
      <c r="K20" s="8">
        <v>58.5</v>
      </c>
      <c r="L20" s="25">
        <v>69.099999999999994</v>
      </c>
      <c r="M20" s="9">
        <f t="shared" si="4"/>
        <v>10.599999999999994</v>
      </c>
      <c r="N20" s="9">
        <f t="shared" si="5"/>
        <v>118.1196581196581</v>
      </c>
      <c r="O20" s="12">
        <f t="shared" si="23"/>
        <v>200.40000000000009</v>
      </c>
      <c r="P20" s="12">
        <f t="shared" si="24"/>
        <v>219.10000000000014</v>
      </c>
      <c r="Q20" s="10">
        <f t="shared" si="6"/>
        <v>18.700000000000045</v>
      </c>
      <c r="R20" s="11">
        <f t="shared" si="7"/>
        <v>109.33133732534932</v>
      </c>
      <c r="S20" s="10">
        <v>927.9</v>
      </c>
      <c r="T20" s="10">
        <v>975</v>
      </c>
      <c r="U20" s="10">
        <f t="shared" si="8"/>
        <v>47.100000000000023</v>
      </c>
      <c r="V20" s="11">
        <f t="shared" si="9"/>
        <v>105.07597801487229</v>
      </c>
      <c r="W20" s="10">
        <f>1061.8+0.1</f>
        <v>1061.8999999999999</v>
      </c>
      <c r="X20" s="10">
        <f>1112.2+3.4</f>
        <v>1115.6000000000001</v>
      </c>
      <c r="Y20" s="10">
        <f t="shared" si="10"/>
        <v>53.700000000000273</v>
      </c>
      <c r="Z20" s="12">
        <f t="shared" si="11"/>
        <v>105.05697334965632</v>
      </c>
      <c r="AA20" s="12">
        <f t="shared" si="25"/>
        <v>66.400000000000318</v>
      </c>
      <c r="AB20" s="12">
        <f t="shared" si="26"/>
        <v>78.5</v>
      </c>
      <c r="AC20" s="10">
        <f t="shared" si="12"/>
        <v>12.099999999999682</v>
      </c>
      <c r="AD20" s="11">
        <f t="shared" si="13"/>
        <v>118.22289156626449</v>
      </c>
      <c r="AE20" s="109">
        <f t="shared" si="14"/>
        <v>4.8358877458184608</v>
      </c>
    </row>
    <row r="21" spans="1:31" ht="25.5" customHeight="1">
      <c r="A21" s="7" t="s">
        <v>19</v>
      </c>
      <c r="B21" s="2" t="s">
        <v>40</v>
      </c>
      <c r="C21" s="8">
        <v>5012.7</v>
      </c>
      <c r="D21" s="25">
        <v>5800.2</v>
      </c>
      <c r="E21" s="8">
        <f t="shared" si="0"/>
        <v>787.5</v>
      </c>
      <c r="F21" s="9">
        <f t="shared" si="1"/>
        <v>115.71009635525765</v>
      </c>
      <c r="G21" s="25">
        <v>814.1</v>
      </c>
      <c r="H21" s="25">
        <v>743.4</v>
      </c>
      <c r="I21" s="9">
        <f t="shared" si="22"/>
        <v>-70.700000000000045</v>
      </c>
      <c r="J21" s="9">
        <f t="shared" si="3"/>
        <v>91.315563198624233</v>
      </c>
      <c r="K21" s="9">
        <v>61.5</v>
      </c>
      <c r="L21" s="25">
        <v>-336</v>
      </c>
      <c r="M21" s="9">
        <f t="shared" si="4"/>
        <v>-397.5</v>
      </c>
      <c r="N21" s="9">
        <f t="shared" si="5"/>
        <v>-546.34146341463418</v>
      </c>
      <c r="O21" s="12">
        <f t="shared" si="23"/>
        <v>4198.5999999999995</v>
      </c>
      <c r="P21" s="12">
        <f>D21-H21</f>
        <v>5056.8</v>
      </c>
      <c r="Q21" s="10">
        <f t="shared" si="6"/>
        <v>858.20000000000073</v>
      </c>
      <c r="R21" s="11">
        <f t="shared" si="7"/>
        <v>120.44014671557188</v>
      </c>
      <c r="S21" s="10">
        <v>1159.3</v>
      </c>
      <c r="T21" s="10">
        <v>1</v>
      </c>
      <c r="U21" s="10">
        <f t="shared" si="8"/>
        <v>-1158.3</v>
      </c>
      <c r="V21" s="11">
        <f t="shared" si="9"/>
        <v>8.625894936599672E-2</v>
      </c>
      <c r="W21" s="10">
        <f>4795+321.7</f>
        <v>5116.7</v>
      </c>
      <c r="X21" s="10">
        <f>5252+22.8</f>
        <v>5274.8</v>
      </c>
      <c r="Y21" s="10">
        <f t="shared" si="10"/>
        <v>158.10000000000036</v>
      </c>
      <c r="Z21" s="12">
        <f t="shared" si="11"/>
        <v>103.08988215060488</v>
      </c>
      <c r="AA21" s="12">
        <f t="shared" si="25"/>
        <v>241.19999999999982</v>
      </c>
      <c r="AB21" s="12">
        <f t="shared" si="26"/>
        <v>-217</v>
      </c>
      <c r="AC21" s="10">
        <f t="shared" si="12"/>
        <v>-458.19999999999982</v>
      </c>
      <c r="AD21" s="11">
        <f t="shared" si="13"/>
        <v>-89.966832504145998</v>
      </c>
      <c r="AE21" s="109">
        <f t="shared" si="14"/>
        <v>-5.7929036929761049</v>
      </c>
    </row>
    <row r="22" spans="1:31" ht="17.100000000000001" customHeight="1">
      <c r="A22" s="19" t="s">
        <v>20</v>
      </c>
      <c r="B22" s="2" t="s">
        <v>41</v>
      </c>
      <c r="C22" s="9">
        <v>7556.7</v>
      </c>
      <c r="D22" s="9">
        <v>8964.2999999999993</v>
      </c>
      <c r="E22" s="8">
        <f t="shared" si="0"/>
        <v>1407.5999999999995</v>
      </c>
      <c r="F22" s="9">
        <f t="shared" si="1"/>
        <v>118.62717853031084</v>
      </c>
      <c r="G22" s="9">
        <v>5596.8</v>
      </c>
      <c r="H22" s="9">
        <v>7095.6</v>
      </c>
      <c r="I22" s="9">
        <f t="shared" si="22"/>
        <v>1498.8000000000002</v>
      </c>
      <c r="J22" s="9">
        <f t="shared" si="3"/>
        <v>126.77958833619212</v>
      </c>
      <c r="K22" s="9">
        <v>19.7</v>
      </c>
      <c r="L22" s="9">
        <v>-120.9</v>
      </c>
      <c r="M22" s="9">
        <f t="shared" si="4"/>
        <v>-140.6</v>
      </c>
      <c r="N22" s="9">
        <f t="shared" si="5"/>
        <v>-613.70558375634528</v>
      </c>
      <c r="O22" s="12">
        <f t="shared" si="23"/>
        <v>1959.8999999999996</v>
      </c>
      <c r="P22" s="12">
        <f t="shared" si="24"/>
        <v>1868.6999999999989</v>
      </c>
      <c r="Q22" s="10">
        <f t="shared" si="6"/>
        <v>-91.200000000000728</v>
      </c>
      <c r="R22" s="11">
        <f t="shared" si="7"/>
        <v>95.346701362314363</v>
      </c>
      <c r="S22" s="10">
        <v>197.3</v>
      </c>
      <c r="T22" s="10">
        <v>111.4</v>
      </c>
      <c r="U22" s="10">
        <f t="shared" si="8"/>
        <v>-85.9</v>
      </c>
      <c r="V22" s="11">
        <f t="shared" si="9"/>
        <v>56.462240243284334</v>
      </c>
      <c r="W22" s="10">
        <f>2129.6+8</f>
        <v>2137.6</v>
      </c>
      <c r="X22" s="10">
        <f>7+2092.4+1.5</f>
        <v>2100.9</v>
      </c>
      <c r="Y22" s="10">
        <f t="shared" si="10"/>
        <v>-36.699999999999818</v>
      </c>
      <c r="Z22" s="12">
        <f t="shared" si="11"/>
        <v>98.283121257485035</v>
      </c>
      <c r="AA22" s="12">
        <f t="shared" si="25"/>
        <v>19.599999999999909</v>
      </c>
      <c r="AB22" s="12">
        <f t="shared" si="26"/>
        <v>-120.80000000000109</v>
      </c>
      <c r="AC22" s="10">
        <f t="shared" si="12"/>
        <v>-140.400000000001</v>
      </c>
      <c r="AD22" s="11">
        <f t="shared" si="13"/>
        <v>-616.32653061225335</v>
      </c>
      <c r="AE22" s="109">
        <f t="shared" si="14"/>
        <v>-1.3486831096683511</v>
      </c>
    </row>
    <row r="23" spans="1:31" ht="17.100000000000001" customHeight="1">
      <c r="A23" s="7" t="s">
        <v>21</v>
      </c>
      <c r="B23" s="2" t="s">
        <v>42</v>
      </c>
      <c r="C23" s="8">
        <v>15540.5</v>
      </c>
      <c r="D23" s="25">
        <v>18813</v>
      </c>
      <c r="E23" s="8">
        <f t="shared" si="0"/>
        <v>3272.5</v>
      </c>
      <c r="F23" s="9">
        <f t="shared" si="1"/>
        <v>121.05788102055919</v>
      </c>
      <c r="G23" s="25">
        <v>11980.1</v>
      </c>
      <c r="H23" s="25">
        <v>13096.1</v>
      </c>
      <c r="I23" s="9">
        <f t="shared" si="22"/>
        <v>1116</v>
      </c>
      <c r="J23" s="9">
        <f t="shared" si="3"/>
        <v>109.31544811812924</v>
      </c>
      <c r="K23" s="8">
        <v>-701</v>
      </c>
      <c r="L23" s="25">
        <v>142.69999999999999</v>
      </c>
      <c r="M23" s="9">
        <f t="shared" si="4"/>
        <v>843.7</v>
      </c>
      <c r="N23" s="9">
        <f t="shared" si="5"/>
        <v>-20.356633380884446</v>
      </c>
      <c r="O23" s="12">
        <f t="shared" si="23"/>
        <v>3560.3999999999996</v>
      </c>
      <c r="P23" s="12">
        <f t="shared" si="24"/>
        <v>5716.9</v>
      </c>
      <c r="Q23" s="10">
        <f t="shared" si="6"/>
        <v>2156.5</v>
      </c>
      <c r="R23" s="11">
        <f t="shared" si="7"/>
        <v>160.56903718683296</v>
      </c>
      <c r="S23" s="10">
        <v>385.6</v>
      </c>
      <c r="T23" s="10">
        <v>387.8</v>
      </c>
      <c r="U23" s="10">
        <f t="shared" si="8"/>
        <v>2.1999999999999886</v>
      </c>
      <c r="V23" s="11">
        <f t="shared" si="9"/>
        <v>100.57053941908714</v>
      </c>
      <c r="W23" s="10">
        <f>372.3+3734+570.4</f>
        <v>4676.7</v>
      </c>
      <c r="X23" s="10">
        <f>431.4+4817.1+713.5</f>
        <v>5962</v>
      </c>
      <c r="Y23" s="10">
        <f t="shared" si="10"/>
        <v>1285.3000000000002</v>
      </c>
      <c r="Z23" s="12">
        <f t="shared" si="11"/>
        <v>127.48305429041847</v>
      </c>
      <c r="AA23" s="12">
        <f t="shared" si="25"/>
        <v>-730.70000000000027</v>
      </c>
      <c r="AB23" s="12">
        <f t="shared" si="26"/>
        <v>142.69999999999982</v>
      </c>
      <c r="AC23" s="10">
        <f t="shared" si="12"/>
        <v>873.40000000000009</v>
      </c>
      <c r="AD23" s="11">
        <f t="shared" si="13"/>
        <v>-19.529218557547527</v>
      </c>
      <c r="AE23" s="109">
        <f t="shared" si="14"/>
        <v>0.75851804603199902</v>
      </c>
    </row>
    <row r="24" spans="1:31" ht="17.100000000000001" customHeight="1">
      <c r="A24" s="19" t="s">
        <v>43</v>
      </c>
      <c r="B24" s="2" t="s">
        <v>44</v>
      </c>
      <c r="C24" s="9">
        <v>74.3</v>
      </c>
      <c r="D24" s="26">
        <v>0</v>
      </c>
      <c r="E24" s="8">
        <f t="shared" si="0"/>
        <v>-74.3</v>
      </c>
      <c r="F24" s="9">
        <f t="shared" si="1"/>
        <v>0</v>
      </c>
      <c r="G24" s="26">
        <v>12.8</v>
      </c>
      <c r="H24" s="26"/>
      <c r="I24" s="9">
        <f t="shared" si="22"/>
        <v>-12.8</v>
      </c>
      <c r="J24" s="9">
        <f t="shared" si="3"/>
        <v>0</v>
      </c>
      <c r="K24" s="8">
        <v>-85.9</v>
      </c>
      <c r="L24" s="26">
        <v>-68.900000000000006</v>
      </c>
      <c r="M24" s="9">
        <f t="shared" si="4"/>
        <v>17</v>
      </c>
      <c r="N24" s="9">
        <f t="shared" si="5"/>
        <v>80.209545983701986</v>
      </c>
      <c r="O24" s="12">
        <f t="shared" si="23"/>
        <v>61.5</v>
      </c>
      <c r="P24" s="12">
        <f t="shared" si="24"/>
        <v>0</v>
      </c>
      <c r="Q24" s="10">
        <f t="shared" si="6"/>
        <v>-61.5</v>
      </c>
      <c r="R24" s="11">
        <f t="shared" si="7"/>
        <v>0</v>
      </c>
      <c r="S24" s="10">
        <v>0</v>
      </c>
      <c r="T24" s="10">
        <v>0</v>
      </c>
      <c r="U24" s="10">
        <f t="shared" si="8"/>
        <v>0</v>
      </c>
      <c r="V24" s="11">
        <v>0</v>
      </c>
      <c r="W24" s="10">
        <v>147.5</v>
      </c>
      <c r="X24" s="10">
        <v>68.900000000000006</v>
      </c>
      <c r="Y24" s="10">
        <f t="shared" si="10"/>
        <v>-78.599999999999994</v>
      </c>
      <c r="Z24" s="12">
        <f t="shared" si="11"/>
        <v>46.711864406779661</v>
      </c>
      <c r="AA24" s="12">
        <f t="shared" si="25"/>
        <v>-86</v>
      </c>
      <c r="AB24" s="12">
        <f t="shared" si="26"/>
        <v>-68.900000000000006</v>
      </c>
      <c r="AC24" s="10">
        <f t="shared" si="12"/>
        <v>17.099999999999994</v>
      </c>
      <c r="AD24" s="11">
        <f t="shared" si="13"/>
        <v>80.116279069767444</v>
      </c>
      <c r="AE24" s="109" t="e">
        <f t="shared" si="14"/>
        <v>#DIV/0!</v>
      </c>
    </row>
    <row r="25" spans="1:31" ht="17.100000000000001" customHeight="1">
      <c r="A25" s="7" t="s">
        <v>45</v>
      </c>
      <c r="B25" s="2" t="s">
        <v>46</v>
      </c>
      <c r="C25" s="27">
        <v>553.29999999999995</v>
      </c>
      <c r="D25" s="26">
        <v>553.9</v>
      </c>
      <c r="E25" s="8">
        <f t="shared" si="0"/>
        <v>0.60000000000002274</v>
      </c>
      <c r="F25" s="9">
        <f t="shared" si="1"/>
        <v>100.108440267486</v>
      </c>
      <c r="G25" s="26">
        <v>553.29999999999995</v>
      </c>
      <c r="H25" s="26">
        <v>553.9</v>
      </c>
      <c r="I25" s="9">
        <f t="shared" si="22"/>
        <v>0.60000000000002274</v>
      </c>
      <c r="J25" s="9">
        <f t="shared" si="3"/>
        <v>100.108440267486</v>
      </c>
      <c r="K25" s="27">
        <v>0</v>
      </c>
      <c r="L25" s="26">
        <v>0</v>
      </c>
      <c r="M25" s="9">
        <f t="shared" si="4"/>
        <v>0</v>
      </c>
      <c r="N25" s="9">
        <v>0</v>
      </c>
      <c r="O25" s="12">
        <f t="shared" si="23"/>
        <v>0</v>
      </c>
      <c r="P25" s="12">
        <f t="shared" si="24"/>
        <v>0</v>
      </c>
      <c r="Q25" s="10">
        <f t="shared" si="6"/>
        <v>0</v>
      </c>
      <c r="R25" s="11">
        <v>0</v>
      </c>
      <c r="S25" s="10"/>
      <c r="T25" s="10"/>
      <c r="U25" s="10">
        <f t="shared" si="8"/>
        <v>0</v>
      </c>
      <c r="V25" s="11">
        <v>0</v>
      </c>
      <c r="W25" s="10">
        <v>275.7</v>
      </c>
      <c r="X25" s="10">
        <v>281.39999999999998</v>
      </c>
      <c r="Y25" s="10">
        <f t="shared" si="10"/>
        <v>5.6999999999999886</v>
      </c>
      <c r="Z25" s="12">
        <f t="shared" si="11"/>
        <v>102.06746463547334</v>
      </c>
      <c r="AA25" s="12">
        <f t="shared" si="25"/>
        <v>-275.7</v>
      </c>
      <c r="AB25" s="12">
        <f t="shared" si="26"/>
        <v>-281.39999999999998</v>
      </c>
      <c r="AC25" s="10">
        <f t="shared" si="12"/>
        <v>-5.6999999999999886</v>
      </c>
      <c r="AD25" s="11">
        <f t="shared" si="13"/>
        <v>102.06746463547334</v>
      </c>
      <c r="AE25" s="109">
        <f t="shared" si="14"/>
        <v>0</v>
      </c>
    </row>
    <row r="26" spans="1:31" ht="17.100000000000001" customHeight="1">
      <c r="A26" s="19" t="s">
        <v>47</v>
      </c>
      <c r="B26" s="2" t="s">
        <v>48</v>
      </c>
      <c r="C26" s="8">
        <v>155.30000000000001</v>
      </c>
      <c r="D26" s="26">
        <v>211.4</v>
      </c>
      <c r="E26" s="8">
        <f t="shared" si="0"/>
        <v>56.099999999999994</v>
      </c>
      <c r="F26" s="9">
        <f t="shared" si="1"/>
        <v>136.12363168061816</v>
      </c>
      <c r="G26" s="26">
        <v>311.3</v>
      </c>
      <c r="H26" s="26">
        <v>208.8</v>
      </c>
      <c r="I26" s="9">
        <f t="shared" si="22"/>
        <v>-102.5</v>
      </c>
      <c r="J26" s="9">
        <f t="shared" si="3"/>
        <v>67.073562479922913</v>
      </c>
      <c r="K26" s="8">
        <v>-2.6</v>
      </c>
      <c r="L26" s="26">
        <v>-8.1999999999999993</v>
      </c>
      <c r="M26" s="9">
        <f t="shared" si="4"/>
        <v>-5.6</v>
      </c>
      <c r="N26" s="9">
        <f t="shared" si="5"/>
        <v>315.38461538461536</v>
      </c>
      <c r="O26" s="12">
        <f t="shared" si="23"/>
        <v>-156</v>
      </c>
      <c r="P26" s="12">
        <f t="shared" si="24"/>
        <v>2.5999999999999943</v>
      </c>
      <c r="Q26" s="10">
        <f t="shared" si="6"/>
        <v>158.6</v>
      </c>
      <c r="R26" s="11">
        <f t="shared" si="7"/>
        <v>-1.6666666666666632</v>
      </c>
      <c r="S26" s="10"/>
      <c r="T26" s="10"/>
      <c r="U26" s="10">
        <f t="shared" si="8"/>
        <v>0</v>
      </c>
      <c r="V26" s="11">
        <v>0</v>
      </c>
      <c r="W26" s="10">
        <f>543+0.2</f>
        <v>543.20000000000005</v>
      </c>
      <c r="X26" s="10">
        <v>432.8</v>
      </c>
      <c r="Y26" s="10">
        <f t="shared" si="10"/>
        <v>-110.40000000000003</v>
      </c>
      <c r="Z26" s="12">
        <f t="shared" si="11"/>
        <v>79.675994108983801</v>
      </c>
      <c r="AA26" s="12">
        <f t="shared" si="25"/>
        <v>-699.2</v>
      </c>
      <c r="AB26" s="12">
        <f t="shared" si="26"/>
        <v>-430.20000000000005</v>
      </c>
      <c r="AC26" s="10">
        <f t="shared" si="12"/>
        <v>269</v>
      </c>
      <c r="AD26" s="11">
        <f t="shared" si="13"/>
        <v>61.527459954233407</v>
      </c>
      <c r="AE26" s="109">
        <f t="shared" si="14"/>
        <v>-3.8789025543992426</v>
      </c>
    </row>
    <row r="27" spans="1:31" ht="17.100000000000001" customHeight="1" thickBot="1">
      <c r="A27" s="7" t="s">
        <v>49</v>
      </c>
      <c r="B27" s="3" t="s">
        <v>50</v>
      </c>
      <c r="C27" s="8">
        <v>715.1</v>
      </c>
      <c r="D27" s="16">
        <v>855.6</v>
      </c>
      <c r="E27" s="14">
        <f t="shared" si="0"/>
        <v>140.5</v>
      </c>
      <c r="F27" s="15">
        <f t="shared" si="1"/>
        <v>119.64760173402323</v>
      </c>
      <c r="G27" s="16">
        <v>445.1</v>
      </c>
      <c r="H27" s="16">
        <v>674.6</v>
      </c>
      <c r="I27" s="15">
        <f t="shared" si="22"/>
        <v>229.5</v>
      </c>
      <c r="J27" s="15">
        <f t="shared" si="3"/>
        <v>151.56144686587282</v>
      </c>
      <c r="K27" s="15">
        <v>-57.2</v>
      </c>
      <c r="L27" s="16">
        <v>-9.9</v>
      </c>
      <c r="M27" s="15">
        <f t="shared" si="4"/>
        <v>47.300000000000004</v>
      </c>
      <c r="N27" s="15">
        <f t="shared" si="5"/>
        <v>17.307692307692307</v>
      </c>
      <c r="O27" s="18">
        <f t="shared" si="23"/>
        <v>270</v>
      </c>
      <c r="P27" s="18">
        <f>D27-H27</f>
        <v>181</v>
      </c>
      <c r="Q27" s="16">
        <f t="shared" si="6"/>
        <v>-89</v>
      </c>
      <c r="R27" s="17">
        <f t="shared" si="7"/>
        <v>67.037037037037038</v>
      </c>
      <c r="S27" s="16"/>
      <c r="T27" s="16"/>
      <c r="U27" s="16">
        <f t="shared" si="8"/>
        <v>0</v>
      </c>
      <c r="V27" s="17">
        <v>0</v>
      </c>
      <c r="W27" s="16">
        <f>178.8+148.4</f>
        <v>327.20000000000005</v>
      </c>
      <c r="X27" s="16">
        <f>35.7+155.2</f>
        <v>190.89999999999998</v>
      </c>
      <c r="Y27" s="16">
        <f t="shared" si="10"/>
        <v>-136.30000000000007</v>
      </c>
      <c r="Z27" s="18">
        <f t="shared" si="11"/>
        <v>58.343520782396077</v>
      </c>
      <c r="AA27" s="18">
        <f>O27+S27-W27</f>
        <v>-57.200000000000045</v>
      </c>
      <c r="AB27" s="18">
        <f t="shared" si="26"/>
        <v>-9.8999999999999773</v>
      </c>
      <c r="AC27" s="16">
        <f t="shared" si="12"/>
        <v>47.300000000000068</v>
      </c>
      <c r="AD27" s="17">
        <f t="shared" si="13"/>
        <v>17.307692307692253</v>
      </c>
      <c r="AE27" s="110">
        <f t="shared" si="14"/>
        <v>-1.1570827489481066</v>
      </c>
    </row>
    <row r="28" spans="1:31" s="72" customFormat="1" ht="24.95" customHeight="1" thickBot="1">
      <c r="A28" s="267" t="s">
        <v>51</v>
      </c>
      <c r="B28" s="268"/>
      <c r="C28" s="66">
        <f>SUM(C12:C27)</f>
        <v>530668.80000000016</v>
      </c>
      <c r="D28" s="67">
        <f>SUM(D12:D27)</f>
        <v>460878.80000000005</v>
      </c>
      <c r="E28" s="73">
        <f t="shared" si="0"/>
        <v>-69790.000000000116</v>
      </c>
      <c r="F28" s="66">
        <f t="shared" si="1"/>
        <v>86.848670960116721</v>
      </c>
      <c r="G28" s="66">
        <f>SUM(G12:G27)</f>
        <v>449567.1999999999</v>
      </c>
      <c r="H28" s="66">
        <f>SUM(H12:H27)</f>
        <v>378289.99999999994</v>
      </c>
      <c r="I28" s="66">
        <f t="shared" si="22"/>
        <v>-71277.199999999953</v>
      </c>
      <c r="J28" s="66">
        <f t="shared" si="3"/>
        <v>84.145373594870804</v>
      </c>
      <c r="K28" s="66">
        <f>SUM(K12:K27)</f>
        <v>13146.600000000002</v>
      </c>
      <c r="L28" s="66">
        <f>SUM(L12:L27)</f>
        <v>6228.0000000000018</v>
      </c>
      <c r="M28" s="66">
        <f t="shared" si="4"/>
        <v>-6918.6</v>
      </c>
      <c r="N28" s="66">
        <f t="shared" si="5"/>
        <v>47.373465382684508</v>
      </c>
      <c r="O28" s="71">
        <f>C28-G28</f>
        <v>81101.600000000268</v>
      </c>
      <c r="P28" s="71">
        <f t="shared" si="24"/>
        <v>82588.800000000105</v>
      </c>
      <c r="Q28" s="69">
        <f t="shared" si="6"/>
        <v>1487.199999999837</v>
      </c>
      <c r="R28" s="70">
        <f t="shared" si="7"/>
        <v>101.83374927251722</v>
      </c>
      <c r="S28" s="67">
        <f>SUM(S12:S27)</f>
        <v>13647.899999999998</v>
      </c>
      <c r="T28" s="68">
        <f>SUM(T12:T27)</f>
        <v>10606.4</v>
      </c>
      <c r="U28" s="69">
        <f t="shared" si="8"/>
        <v>-3041.4999999999982</v>
      </c>
      <c r="V28" s="70">
        <f t="shared" si="9"/>
        <v>77.71452018259221</v>
      </c>
      <c r="W28" s="66">
        <f>SUM(W12:W27)</f>
        <v>82947.799999999988</v>
      </c>
      <c r="X28" s="66">
        <f>SUM(X12:X27)</f>
        <v>87597.6</v>
      </c>
      <c r="Y28" s="69">
        <f t="shared" si="10"/>
        <v>4649.8000000000175</v>
      </c>
      <c r="Z28" s="71">
        <f t="shared" si="11"/>
        <v>105.60569418357089</v>
      </c>
      <c r="AA28" s="71">
        <f t="shared" si="25"/>
        <v>11801.700000000274</v>
      </c>
      <c r="AB28" s="71">
        <f t="shared" si="26"/>
        <v>5597.6000000000931</v>
      </c>
      <c r="AC28" s="69">
        <f t="shared" si="12"/>
        <v>-6204.1000000001804</v>
      </c>
      <c r="AD28" s="70">
        <f t="shared" si="13"/>
        <v>47.430454934458282</v>
      </c>
      <c r="AE28" s="112">
        <f t="shared" si="14"/>
        <v>1.3513314129441409</v>
      </c>
    </row>
    <row r="29" spans="1:31" ht="25.5">
      <c r="A29" s="19" t="s">
        <v>52</v>
      </c>
      <c r="B29" s="4" t="s">
        <v>53</v>
      </c>
      <c r="C29" s="20">
        <v>640.29999999999995</v>
      </c>
      <c r="D29" s="22">
        <v>1237.9000000000001</v>
      </c>
      <c r="E29" s="20">
        <f t="shared" si="0"/>
        <v>597.60000000000014</v>
      </c>
      <c r="F29" s="21">
        <f t="shared" si="1"/>
        <v>193.33125097610497</v>
      </c>
      <c r="G29" s="22">
        <v>640.1</v>
      </c>
      <c r="H29" s="22">
        <v>1176.5</v>
      </c>
      <c r="I29" s="21">
        <f t="shared" si="22"/>
        <v>536.4</v>
      </c>
      <c r="J29" s="21">
        <f t="shared" si="3"/>
        <v>183.79940634275894</v>
      </c>
      <c r="K29" s="20">
        <v>-4.7</v>
      </c>
      <c r="L29" s="22">
        <v>-1.1000000000000001</v>
      </c>
      <c r="M29" s="21">
        <f t="shared" si="4"/>
        <v>3.6</v>
      </c>
      <c r="N29" s="21">
        <f t="shared" si="5"/>
        <v>23.404255319148938</v>
      </c>
      <c r="O29" s="24">
        <f t="shared" si="23"/>
        <v>0.19999999999993179</v>
      </c>
      <c r="P29" s="24">
        <f t="shared" si="24"/>
        <v>61.400000000000091</v>
      </c>
      <c r="Q29" s="22">
        <f t="shared" si="6"/>
        <v>61.200000000000159</v>
      </c>
      <c r="R29" s="23">
        <f t="shared" si="7"/>
        <v>30700.000000010517</v>
      </c>
      <c r="S29" s="22">
        <v>289.7</v>
      </c>
      <c r="T29" s="22">
        <v>13.1</v>
      </c>
      <c r="U29" s="22">
        <f t="shared" si="8"/>
        <v>-276.59999999999997</v>
      </c>
      <c r="V29" s="23">
        <f t="shared" si="9"/>
        <v>4.5219192267863306</v>
      </c>
      <c r="W29" s="22">
        <f>3360.7+17</f>
        <v>3377.7</v>
      </c>
      <c r="X29" s="22">
        <f>3572.1+14.7</f>
        <v>3586.7999999999997</v>
      </c>
      <c r="Y29" s="22">
        <f t="shared" si="10"/>
        <v>209.09999999999991</v>
      </c>
      <c r="Z29" s="24">
        <f t="shared" si="11"/>
        <v>106.19060307309707</v>
      </c>
      <c r="AA29" s="24">
        <f t="shared" si="25"/>
        <v>-3087.7999999999997</v>
      </c>
      <c r="AB29" s="24">
        <f t="shared" si="26"/>
        <v>-3512.2999999999997</v>
      </c>
      <c r="AC29" s="22">
        <f t="shared" si="12"/>
        <v>-424.5</v>
      </c>
      <c r="AD29" s="23">
        <f t="shared" si="13"/>
        <v>113.74765205000324</v>
      </c>
      <c r="AE29" s="111">
        <f t="shared" si="14"/>
        <v>-8.8860166410857103E-2</v>
      </c>
    </row>
    <row r="30" spans="1:31" ht="38.25">
      <c r="A30" s="7" t="s">
        <v>54</v>
      </c>
      <c r="B30" s="2" t="s">
        <v>55</v>
      </c>
      <c r="C30" s="9">
        <v>796.1</v>
      </c>
      <c r="D30" s="10">
        <v>511.8</v>
      </c>
      <c r="E30" s="8">
        <f t="shared" si="0"/>
        <v>-284.3</v>
      </c>
      <c r="F30" s="9">
        <f t="shared" si="1"/>
        <v>64.288405979148351</v>
      </c>
      <c r="G30" s="10">
        <v>188.6</v>
      </c>
      <c r="H30" s="10">
        <v>377.5</v>
      </c>
      <c r="I30" s="9">
        <f t="shared" si="22"/>
        <v>188.9</v>
      </c>
      <c r="J30" s="9">
        <f t="shared" si="3"/>
        <v>200.15906680805938</v>
      </c>
      <c r="K30" s="8">
        <v>-11.9</v>
      </c>
      <c r="L30" s="10">
        <v>-3</v>
      </c>
      <c r="M30" s="9">
        <f t="shared" si="4"/>
        <v>8.9</v>
      </c>
      <c r="N30" s="9">
        <f t="shared" si="5"/>
        <v>25.210084033613445</v>
      </c>
      <c r="O30" s="12">
        <f t="shared" si="23"/>
        <v>607.5</v>
      </c>
      <c r="P30" s="12">
        <f t="shared" si="24"/>
        <v>134.30000000000001</v>
      </c>
      <c r="Q30" s="10">
        <f t="shared" si="6"/>
        <v>-473.2</v>
      </c>
      <c r="R30" s="11">
        <f t="shared" si="7"/>
        <v>22.106995884773664</v>
      </c>
      <c r="S30" s="10">
        <v>76</v>
      </c>
      <c r="T30" s="10">
        <v>75.400000000000006</v>
      </c>
      <c r="U30" s="10">
        <f t="shared" si="8"/>
        <v>-0.59999999999999432</v>
      </c>
      <c r="V30" s="11">
        <f t="shared" si="9"/>
        <v>99.21052631578948</v>
      </c>
      <c r="W30" s="10">
        <f>40.9+6280+631</f>
        <v>6951.9</v>
      </c>
      <c r="X30" s="10">
        <f>7568.3+3800</f>
        <v>11368.3</v>
      </c>
      <c r="Y30" s="10">
        <f t="shared" si="10"/>
        <v>4416.3999999999996</v>
      </c>
      <c r="Z30" s="12">
        <f t="shared" si="11"/>
        <v>163.52795638602396</v>
      </c>
      <c r="AA30" s="12">
        <f t="shared" si="25"/>
        <v>-6268.4</v>
      </c>
      <c r="AB30" s="12">
        <f t="shared" si="26"/>
        <v>-11158.599999999999</v>
      </c>
      <c r="AC30" s="10">
        <f t="shared" si="12"/>
        <v>-4890.1999999999989</v>
      </c>
      <c r="AD30" s="11">
        <f t="shared" si="13"/>
        <v>178.01352817305852</v>
      </c>
      <c r="AE30" s="109">
        <f t="shared" si="14"/>
        <v>-0.58616647127784294</v>
      </c>
    </row>
    <row r="31" spans="1:31">
      <c r="A31" s="7" t="s">
        <v>56</v>
      </c>
      <c r="B31" s="2" t="s">
        <v>57</v>
      </c>
      <c r="C31" s="8">
        <v>23.7</v>
      </c>
      <c r="D31" s="10">
        <v>30.9</v>
      </c>
      <c r="E31" s="8">
        <f t="shared" si="0"/>
        <v>7.1999999999999993</v>
      </c>
      <c r="F31" s="9">
        <f t="shared" si="1"/>
        <v>130.37974683544306</v>
      </c>
      <c r="G31" s="10">
        <v>2.6</v>
      </c>
      <c r="H31" s="10">
        <v>4.3</v>
      </c>
      <c r="I31" s="9">
        <f t="shared" si="22"/>
        <v>1.6999999999999997</v>
      </c>
      <c r="J31" s="9">
        <f t="shared" si="3"/>
        <v>165.38461538461539</v>
      </c>
      <c r="K31" s="8">
        <v>-3.2</v>
      </c>
      <c r="L31" s="10">
        <v>0</v>
      </c>
      <c r="M31" s="9">
        <f t="shared" si="4"/>
        <v>3.2</v>
      </c>
      <c r="N31" s="9">
        <f t="shared" si="5"/>
        <v>0</v>
      </c>
      <c r="O31" s="12">
        <f t="shared" si="23"/>
        <v>21.099999999999998</v>
      </c>
      <c r="P31" s="12">
        <f t="shared" si="24"/>
        <v>26.599999999999998</v>
      </c>
      <c r="Q31" s="10">
        <f t="shared" si="6"/>
        <v>5.5</v>
      </c>
      <c r="R31" s="11">
        <f t="shared" si="7"/>
        <v>126.06635071090047</v>
      </c>
      <c r="S31" s="10">
        <v>99.9</v>
      </c>
      <c r="T31" s="10">
        <v>118.7</v>
      </c>
      <c r="U31" s="10">
        <f t="shared" si="8"/>
        <v>18.799999999999997</v>
      </c>
      <c r="V31" s="11">
        <f t="shared" si="9"/>
        <v>118.81881881881881</v>
      </c>
      <c r="W31" s="10">
        <v>124.2</v>
      </c>
      <c r="X31" s="10">
        <v>145.30000000000001</v>
      </c>
      <c r="Y31" s="10">
        <f t="shared" si="10"/>
        <v>21.100000000000009</v>
      </c>
      <c r="Z31" s="12">
        <f t="shared" si="11"/>
        <v>116.98872785829309</v>
      </c>
      <c r="AA31" s="12">
        <f t="shared" si="25"/>
        <v>-3.2000000000000028</v>
      </c>
      <c r="AB31" s="12">
        <f t="shared" si="26"/>
        <v>0</v>
      </c>
      <c r="AC31" s="10">
        <f t="shared" si="12"/>
        <v>3.2000000000000028</v>
      </c>
      <c r="AD31" s="11">
        <f t="shared" si="13"/>
        <v>0</v>
      </c>
      <c r="AE31" s="109">
        <f t="shared" si="14"/>
        <v>0</v>
      </c>
    </row>
    <row r="32" spans="1:31" ht="26.25" thickBot="1">
      <c r="A32" s="13" t="s">
        <v>58</v>
      </c>
      <c r="B32" s="3" t="s">
        <v>59</v>
      </c>
      <c r="C32" s="14"/>
      <c r="D32" s="16"/>
      <c r="E32" s="14">
        <f t="shared" si="0"/>
        <v>0</v>
      </c>
      <c r="F32" s="15">
        <v>0</v>
      </c>
      <c r="G32" s="16"/>
      <c r="H32" s="16"/>
      <c r="I32" s="15">
        <f t="shared" si="22"/>
        <v>0</v>
      </c>
      <c r="J32" s="15">
        <v>0</v>
      </c>
      <c r="K32" s="14">
        <v>-8.1999999999999993</v>
      </c>
      <c r="L32" s="16">
        <v>-28.6</v>
      </c>
      <c r="M32" s="15">
        <f t="shared" si="4"/>
        <v>-20.400000000000002</v>
      </c>
      <c r="N32" s="15">
        <f t="shared" si="5"/>
        <v>348.78048780487808</v>
      </c>
      <c r="O32" s="18">
        <f t="shared" si="23"/>
        <v>0</v>
      </c>
      <c r="P32" s="18">
        <f t="shared" si="24"/>
        <v>0</v>
      </c>
      <c r="Q32" s="16">
        <f t="shared" si="6"/>
        <v>0</v>
      </c>
      <c r="R32" s="17">
        <v>0</v>
      </c>
      <c r="S32" s="16">
        <v>764.1</v>
      </c>
      <c r="T32" s="16">
        <v>481.7</v>
      </c>
      <c r="U32" s="16">
        <f t="shared" si="8"/>
        <v>-282.40000000000003</v>
      </c>
      <c r="V32" s="17">
        <f t="shared" si="9"/>
        <v>63.041486716398374</v>
      </c>
      <c r="W32" s="16">
        <f>0.3+751.7+20.3</f>
        <v>772.3</v>
      </c>
      <c r="X32" s="16">
        <f>510.1+0.1</f>
        <v>510.20000000000005</v>
      </c>
      <c r="Y32" s="16">
        <f t="shared" si="10"/>
        <v>-262.09999999999991</v>
      </c>
      <c r="Z32" s="18">
        <f t="shared" si="11"/>
        <v>66.062410980189057</v>
      </c>
      <c r="AA32" s="18">
        <f t="shared" si="25"/>
        <v>-8.1999999999999318</v>
      </c>
      <c r="AB32" s="18">
        <f t="shared" si="26"/>
        <v>-28.500000000000057</v>
      </c>
      <c r="AC32" s="16">
        <f t="shared" si="12"/>
        <v>-20.300000000000125</v>
      </c>
      <c r="AD32" s="17">
        <f t="shared" si="13"/>
        <v>347.56097560975968</v>
      </c>
      <c r="AE32" s="110"/>
    </row>
    <row r="33" spans="1:31" s="65" customFormat="1" ht="24.95" customHeight="1" thickBot="1">
      <c r="A33" s="267" t="s">
        <v>60</v>
      </c>
      <c r="B33" s="268"/>
      <c r="C33" s="58">
        <f>SUM(C29:C32)</f>
        <v>1460.1000000000001</v>
      </c>
      <c r="D33" s="58">
        <f>SUM(D29:D32)</f>
        <v>1780.6000000000001</v>
      </c>
      <c r="E33" s="76">
        <f t="shared" si="0"/>
        <v>320.5</v>
      </c>
      <c r="F33" s="77">
        <f t="shared" si="1"/>
        <v>121.95055133210053</v>
      </c>
      <c r="G33" s="58">
        <f>SUM(G29:G32)</f>
        <v>831.30000000000007</v>
      </c>
      <c r="H33" s="58">
        <f>SUM(H29:H32)</f>
        <v>1558.3</v>
      </c>
      <c r="I33" s="77">
        <f t="shared" si="22"/>
        <v>726.99999999999989</v>
      </c>
      <c r="J33" s="77">
        <f t="shared" si="3"/>
        <v>187.45338626248042</v>
      </c>
      <c r="K33" s="55">
        <f>SUM(K29:K32)</f>
        <v>-28</v>
      </c>
      <c r="L33" s="58">
        <f>SUM(L29:L32)</f>
        <v>-32.700000000000003</v>
      </c>
      <c r="M33" s="77">
        <f t="shared" si="4"/>
        <v>-4.7000000000000028</v>
      </c>
      <c r="N33" s="77">
        <f t="shared" si="5"/>
        <v>116.78571428571429</v>
      </c>
      <c r="O33" s="78">
        <f t="shared" si="23"/>
        <v>628.80000000000007</v>
      </c>
      <c r="P33" s="78">
        <f t="shared" si="24"/>
        <v>222.30000000000018</v>
      </c>
      <c r="Q33" s="79">
        <f t="shared" si="6"/>
        <v>-406.49999999999989</v>
      </c>
      <c r="R33" s="80">
        <f t="shared" si="7"/>
        <v>35.353053435114532</v>
      </c>
      <c r="S33" s="74">
        <f>SUM(S29:S32)</f>
        <v>1229.7</v>
      </c>
      <c r="T33" s="75">
        <f>SUM(T29:T32)</f>
        <v>688.9</v>
      </c>
      <c r="U33" s="59">
        <f t="shared" si="8"/>
        <v>-540.80000000000007</v>
      </c>
      <c r="V33" s="60">
        <f>T33/S33*100</f>
        <v>56.021793933479699</v>
      </c>
      <c r="W33" s="58">
        <f>SUM(W29:W32)</f>
        <v>11226.099999999999</v>
      </c>
      <c r="X33" s="58">
        <f>SUM(X29:X32)</f>
        <v>15610.599999999999</v>
      </c>
      <c r="Y33" s="59">
        <f t="shared" si="10"/>
        <v>4384.5</v>
      </c>
      <c r="Z33" s="63">
        <f t="shared" si="11"/>
        <v>139.05630628624365</v>
      </c>
      <c r="AA33" s="63">
        <f t="shared" si="25"/>
        <v>-9367.5999999999985</v>
      </c>
      <c r="AB33" s="63">
        <f t="shared" si="26"/>
        <v>-14699.399999999998</v>
      </c>
      <c r="AC33" s="59">
        <f t="shared" si="12"/>
        <v>-5331.7999999999993</v>
      </c>
      <c r="AD33" s="60">
        <f t="shared" si="13"/>
        <v>156.91746018190358</v>
      </c>
      <c r="AE33" s="112">
        <f t="shared" si="14"/>
        <v>-1.8364596203526902</v>
      </c>
    </row>
    <row r="34" spans="1:31" ht="17.100000000000001" customHeight="1">
      <c r="A34" s="19" t="s">
        <v>61</v>
      </c>
      <c r="B34" s="4" t="s">
        <v>62</v>
      </c>
      <c r="C34" s="20">
        <v>1981.2</v>
      </c>
      <c r="D34" s="22">
        <v>1821.5</v>
      </c>
      <c r="E34" s="20">
        <f t="shared" si="0"/>
        <v>-159.70000000000005</v>
      </c>
      <c r="F34" s="21">
        <f t="shared" si="1"/>
        <v>91.939228750252369</v>
      </c>
      <c r="G34" s="22">
        <v>704.3</v>
      </c>
      <c r="H34" s="22">
        <v>581.70000000000005</v>
      </c>
      <c r="I34" s="21">
        <f t="shared" si="22"/>
        <v>-122.59999999999991</v>
      </c>
      <c r="J34" s="21">
        <f t="shared" si="3"/>
        <v>82.592645179610969</v>
      </c>
      <c r="K34" s="20">
        <v>89.4</v>
      </c>
      <c r="L34" s="22">
        <v>54</v>
      </c>
      <c r="M34" s="21">
        <f t="shared" si="4"/>
        <v>-35.400000000000006</v>
      </c>
      <c r="N34" s="21">
        <f t="shared" si="5"/>
        <v>60.402684563758392</v>
      </c>
      <c r="O34" s="24">
        <f t="shared" si="23"/>
        <v>1276.9000000000001</v>
      </c>
      <c r="P34" s="24">
        <f t="shared" si="24"/>
        <v>1239.8</v>
      </c>
      <c r="Q34" s="22">
        <f t="shared" si="6"/>
        <v>-37.100000000000136</v>
      </c>
      <c r="R34" s="23">
        <f t="shared" si="7"/>
        <v>97.094525804683201</v>
      </c>
      <c r="S34" s="22"/>
      <c r="T34" s="22">
        <v>4</v>
      </c>
      <c r="U34" s="22">
        <f t="shared" si="8"/>
        <v>4</v>
      </c>
      <c r="V34" s="23">
        <v>0</v>
      </c>
      <c r="W34" s="23">
        <f>852.2+322.4</f>
        <v>1174.5999999999999</v>
      </c>
      <c r="X34" s="22">
        <f>819.4+362.4</f>
        <v>1181.8</v>
      </c>
      <c r="Y34" s="24">
        <f>X34-W34</f>
        <v>7.2000000000000455</v>
      </c>
      <c r="Z34" s="24">
        <f>X34/W34*100</f>
        <v>100.61297462966117</v>
      </c>
      <c r="AA34" s="24">
        <f t="shared" si="25"/>
        <v>102.30000000000018</v>
      </c>
      <c r="AB34" s="24">
        <f t="shared" si="26"/>
        <v>62</v>
      </c>
      <c r="AC34" s="22">
        <f t="shared" si="12"/>
        <v>-40.300000000000182</v>
      </c>
      <c r="AD34" s="23">
        <f t="shared" si="13"/>
        <v>60.606060606060495</v>
      </c>
      <c r="AE34" s="111">
        <f t="shared" si="14"/>
        <v>2.9645896239363161</v>
      </c>
    </row>
    <row r="35" spans="1:31" ht="17.100000000000001" customHeight="1">
      <c r="A35" s="7" t="s">
        <v>63</v>
      </c>
      <c r="B35" s="2" t="s">
        <v>64</v>
      </c>
      <c r="C35" s="9">
        <v>21836</v>
      </c>
      <c r="D35" s="10">
        <v>24240.799999999999</v>
      </c>
      <c r="E35" s="8">
        <f>D35-C35</f>
        <v>2404.7999999999993</v>
      </c>
      <c r="F35" s="9">
        <f>D35/C35*100</f>
        <v>111.01300604506319</v>
      </c>
      <c r="G35" s="10">
        <v>14262</v>
      </c>
      <c r="H35" s="10">
        <v>15527.2</v>
      </c>
      <c r="I35" s="9">
        <f>H35-G35</f>
        <v>1265.2000000000007</v>
      </c>
      <c r="J35" s="9">
        <f>H35/G35*100</f>
        <v>108.87112606927501</v>
      </c>
      <c r="K35" s="8">
        <v>-71.7</v>
      </c>
      <c r="L35" s="10">
        <v>165.1</v>
      </c>
      <c r="M35" s="9">
        <f>L35-K35</f>
        <v>236.8</v>
      </c>
      <c r="N35" s="9">
        <f>L35/K35*100</f>
        <v>-230.26499302649927</v>
      </c>
      <c r="O35" s="12">
        <f t="shared" ref="O35:P38" si="27">C35-G35</f>
        <v>7574</v>
      </c>
      <c r="P35" s="12">
        <f t="shared" si="27"/>
        <v>8713.5999999999985</v>
      </c>
      <c r="Q35" s="10">
        <f>P35-O35</f>
        <v>1139.5999999999985</v>
      </c>
      <c r="R35" s="11">
        <f>P35/O35*100</f>
        <v>115.04621072088723</v>
      </c>
      <c r="S35" s="10">
        <v>3.1</v>
      </c>
      <c r="T35" s="10">
        <v>5.4</v>
      </c>
      <c r="U35" s="10">
        <f>T35-S35</f>
        <v>2.3000000000000003</v>
      </c>
      <c r="V35" s="11">
        <f>T35/S35*100</f>
        <v>174.19354838709677</v>
      </c>
      <c r="W35" s="10">
        <f>6521.4+1080.4+47</f>
        <v>7648.7999999999993</v>
      </c>
      <c r="X35" s="10">
        <f>7273.7+1206.9+2.5</f>
        <v>8483.1</v>
      </c>
      <c r="Y35" s="10">
        <f>X35-W35</f>
        <v>834.30000000000109</v>
      </c>
      <c r="Z35" s="12">
        <f>X35/W35*100</f>
        <v>110.90759334797617</v>
      </c>
      <c r="AA35" s="12">
        <f t="shared" ref="AA35:AB38" si="28">O35+S35-W35</f>
        <v>-71.699999999998909</v>
      </c>
      <c r="AB35" s="12">
        <f t="shared" si="28"/>
        <v>235.89999999999782</v>
      </c>
      <c r="AC35" s="10">
        <f>AB35-AA35</f>
        <v>307.59999999999673</v>
      </c>
      <c r="AD35" s="11">
        <f>AB35/AA35*100</f>
        <v>-329.00976290097827</v>
      </c>
      <c r="AE35" s="109">
        <f t="shared" si="14"/>
        <v>0.68108313256988218</v>
      </c>
    </row>
    <row r="36" spans="1:31" ht="17.100000000000001" customHeight="1">
      <c r="A36" s="7" t="s">
        <v>65</v>
      </c>
      <c r="B36" s="2" t="s">
        <v>66</v>
      </c>
      <c r="C36" s="8">
        <v>17553.099999999999</v>
      </c>
      <c r="D36" s="10">
        <v>19671.7</v>
      </c>
      <c r="E36" s="8">
        <f>D36-C36</f>
        <v>2118.6000000000022</v>
      </c>
      <c r="F36" s="9">
        <f>D36/C36*100</f>
        <v>112.06966290854608</v>
      </c>
      <c r="G36" s="10">
        <v>15563.8</v>
      </c>
      <c r="H36" s="10">
        <v>17150</v>
      </c>
      <c r="I36" s="9">
        <f>H36-G36</f>
        <v>1586.2000000000007</v>
      </c>
      <c r="J36" s="9">
        <f>H36/G36*100</f>
        <v>110.19159845282</v>
      </c>
      <c r="K36" s="9">
        <v>5.9</v>
      </c>
      <c r="L36" s="10">
        <v>9.1</v>
      </c>
      <c r="M36" s="9">
        <f>L36-K36</f>
        <v>3.1999999999999993</v>
      </c>
      <c r="N36" s="9">
        <f>L36/K36*100</f>
        <v>154.23728813559322</v>
      </c>
      <c r="O36" s="12">
        <f t="shared" si="27"/>
        <v>1989.2999999999993</v>
      </c>
      <c r="P36" s="12">
        <f t="shared" si="27"/>
        <v>2521.7000000000007</v>
      </c>
      <c r="Q36" s="10">
        <f>P36-O36</f>
        <v>532.40000000000146</v>
      </c>
      <c r="R36" s="11">
        <f>P36/O36*100</f>
        <v>126.76318302920633</v>
      </c>
      <c r="S36" s="10">
        <v>1</v>
      </c>
      <c r="T36" s="10">
        <v>0.3</v>
      </c>
      <c r="U36" s="10">
        <f>T36-S36</f>
        <v>-0.7</v>
      </c>
      <c r="V36" s="11">
        <f>T36/S36*100</f>
        <v>30</v>
      </c>
      <c r="W36" s="10">
        <f>723.7+1260.6+0.1</f>
        <v>1984.3999999999999</v>
      </c>
      <c r="X36" s="10">
        <f>735.7+1776.9+0.3</f>
        <v>2512.9000000000005</v>
      </c>
      <c r="Y36" s="10">
        <f>X36-W36</f>
        <v>528.50000000000068</v>
      </c>
      <c r="Z36" s="12">
        <f>X36/W36*100</f>
        <v>126.63273533561785</v>
      </c>
      <c r="AA36" s="12">
        <f t="shared" si="28"/>
        <v>5.8999999999994088</v>
      </c>
      <c r="AB36" s="12">
        <f t="shared" si="28"/>
        <v>9.1000000000003638</v>
      </c>
      <c r="AC36" s="10">
        <f>AB36-AA36</f>
        <v>3.200000000000955</v>
      </c>
      <c r="AD36" s="11">
        <f>AB36/AA36*100</f>
        <v>154.23728813561485</v>
      </c>
      <c r="AE36" s="109">
        <f t="shared" si="14"/>
        <v>4.625934718402578E-2</v>
      </c>
    </row>
    <row r="37" spans="1:31" ht="17.100000000000001" customHeight="1">
      <c r="A37" s="7" t="s">
        <v>67</v>
      </c>
      <c r="B37" s="2" t="s">
        <v>68</v>
      </c>
      <c r="C37" s="9">
        <v>11297.8</v>
      </c>
      <c r="D37" s="10">
        <v>12770.4</v>
      </c>
      <c r="E37" s="8">
        <f>D37-C37</f>
        <v>1472.6000000000004</v>
      </c>
      <c r="F37" s="9">
        <f>D37/C37*100</f>
        <v>113.03439607711236</v>
      </c>
      <c r="G37" s="10">
        <v>7555.7</v>
      </c>
      <c r="H37" s="10">
        <v>8560.7999999999993</v>
      </c>
      <c r="I37" s="9">
        <f>H37-G37</f>
        <v>1005.0999999999995</v>
      </c>
      <c r="J37" s="9">
        <f>H37/G37*100</f>
        <v>113.3025398043861</v>
      </c>
      <c r="K37" s="8">
        <v>-86.1</v>
      </c>
      <c r="L37" s="10">
        <v>-267.3</v>
      </c>
      <c r="M37" s="9">
        <f>L37-K37</f>
        <v>-181.20000000000002</v>
      </c>
      <c r="N37" s="9">
        <f>L37/K37*100</f>
        <v>310.45296167247392</v>
      </c>
      <c r="O37" s="12">
        <f t="shared" si="27"/>
        <v>3742.0999999999995</v>
      </c>
      <c r="P37" s="12">
        <f t="shared" si="27"/>
        <v>4209.6000000000004</v>
      </c>
      <c r="Q37" s="10">
        <f>P37-O37</f>
        <v>467.50000000000091</v>
      </c>
      <c r="R37" s="11">
        <f>P37/O37*100</f>
        <v>112.49298522220145</v>
      </c>
      <c r="S37" s="10">
        <v>9.5</v>
      </c>
      <c r="T37" s="10">
        <v>0.3</v>
      </c>
      <c r="U37" s="10">
        <f>T37-S37</f>
        <v>-9.1999999999999993</v>
      </c>
      <c r="V37" s="11">
        <f>T37/S37*100</f>
        <v>3.1578947368421053</v>
      </c>
      <c r="W37" s="10">
        <f>2599.2+1214.2+24.4</f>
        <v>3837.7999999999997</v>
      </c>
      <c r="X37" s="10">
        <f>2953.6+1523.3+0.2</f>
        <v>4477.0999999999995</v>
      </c>
      <c r="Y37" s="10">
        <f>X37-W37</f>
        <v>639.29999999999973</v>
      </c>
      <c r="Z37" s="12">
        <f>X37/W37*100</f>
        <v>116.65798113502528</v>
      </c>
      <c r="AA37" s="12">
        <f t="shared" si="28"/>
        <v>-86.200000000000273</v>
      </c>
      <c r="AB37" s="12">
        <f t="shared" si="28"/>
        <v>-267.19999999999891</v>
      </c>
      <c r="AC37" s="10">
        <f>AB37-AA37</f>
        <v>-180.99999999999864</v>
      </c>
      <c r="AD37" s="11">
        <f>AB37/AA37*100</f>
        <v>309.97679814384924</v>
      </c>
      <c r="AE37" s="109">
        <f t="shared" si="14"/>
        <v>-2.0931215936853977</v>
      </c>
    </row>
    <row r="38" spans="1:31" ht="17.100000000000001" customHeight="1" thickBot="1">
      <c r="A38" s="13" t="s">
        <v>69</v>
      </c>
      <c r="B38" s="3" t="s">
        <v>70</v>
      </c>
      <c r="C38" s="15">
        <v>22328.2</v>
      </c>
      <c r="D38" s="16">
        <v>25134.400000000001</v>
      </c>
      <c r="E38" s="14">
        <f>D38-C38</f>
        <v>2806.2000000000007</v>
      </c>
      <c r="F38" s="15">
        <f>D38/C38*100</f>
        <v>112.56796338262825</v>
      </c>
      <c r="G38" s="16">
        <v>14356.6</v>
      </c>
      <c r="H38" s="16">
        <v>16391.3</v>
      </c>
      <c r="I38" s="15">
        <f>H38-G38</f>
        <v>2034.6999999999989</v>
      </c>
      <c r="J38" s="15">
        <f>H38/G38*100</f>
        <v>114.17257567947843</v>
      </c>
      <c r="K38" s="14">
        <v>-145</v>
      </c>
      <c r="L38" s="16">
        <v>-174.7</v>
      </c>
      <c r="M38" s="15">
        <f>L38-K38</f>
        <v>-29.699999999999989</v>
      </c>
      <c r="N38" s="15">
        <f>L38/K38*100</f>
        <v>120.48275862068965</v>
      </c>
      <c r="O38" s="18">
        <f t="shared" si="27"/>
        <v>7971.6</v>
      </c>
      <c r="P38" s="18">
        <f t="shared" si="27"/>
        <v>8743.1000000000022</v>
      </c>
      <c r="Q38" s="16">
        <f>P38-O38</f>
        <v>771.50000000000182</v>
      </c>
      <c r="R38" s="17">
        <f>P38/O38*100</f>
        <v>109.67810728084703</v>
      </c>
      <c r="S38" s="16">
        <v>86.6</v>
      </c>
      <c r="T38" s="16">
        <v>90.1</v>
      </c>
      <c r="U38" s="16">
        <f>T38-S38</f>
        <v>3.5</v>
      </c>
      <c r="V38" s="17">
        <f>T38/S38*100</f>
        <v>104.04157043879907</v>
      </c>
      <c r="W38" s="16">
        <f>6000.4+2155.4+45.3</f>
        <v>8201.0999999999985</v>
      </c>
      <c r="X38" s="16">
        <f>7389.8+1580.5+37.6</f>
        <v>9007.9</v>
      </c>
      <c r="Y38" s="16">
        <f>X38-W38</f>
        <v>806.80000000000109</v>
      </c>
      <c r="Z38" s="18">
        <f>X38/W38*100</f>
        <v>109.83770469815026</v>
      </c>
      <c r="AA38" s="18">
        <f t="shared" si="28"/>
        <v>-142.89999999999782</v>
      </c>
      <c r="AB38" s="18">
        <f t="shared" si="28"/>
        <v>-174.69999999999709</v>
      </c>
      <c r="AC38" s="16">
        <f>AB38-AA38</f>
        <v>-31.799999999999272</v>
      </c>
      <c r="AD38" s="17">
        <f>AB38/AA38*100</f>
        <v>122.253324002799</v>
      </c>
      <c r="AE38" s="110">
        <f t="shared" si="14"/>
        <v>-0.69506333948691834</v>
      </c>
    </row>
    <row r="39" spans="1:31" s="86" customFormat="1" ht="24.95" customHeight="1" thickBot="1">
      <c r="A39" s="267" t="s">
        <v>71</v>
      </c>
      <c r="B39" s="268"/>
      <c r="C39" s="81">
        <f>SUM(C34:C38)</f>
        <v>74996.3</v>
      </c>
      <c r="D39" s="82">
        <f>SUM(D34:D38)</f>
        <v>83638.8</v>
      </c>
      <c r="E39" s="83">
        <f t="shared" si="0"/>
        <v>8642.5</v>
      </c>
      <c r="F39" s="57">
        <f t="shared" si="1"/>
        <v>111.5239018458244</v>
      </c>
      <c r="G39" s="84">
        <f>SUM(G34:G38)</f>
        <v>52442.399999999994</v>
      </c>
      <c r="H39" s="84">
        <f>SUM(H34:H38)</f>
        <v>58211</v>
      </c>
      <c r="I39" s="57">
        <f t="shared" si="22"/>
        <v>5768.6000000000058</v>
      </c>
      <c r="J39" s="57">
        <f t="shared" si="3"/>
        <v>110.99987796134427</v>
      </c>
      <c r="K39" s="84">
        <f>SUM(K34:K38)</f>
        <v>-207.5</v>
      </c>
      <c r="L39" s="84">
        <f>SUM(L34:L38)</f>
        <v>-213.8</v>
      </c>
      <c r="M39" s="57">
        <f t="shared" si="4"/>
        <v>-6.3000000000000114</v>
      </c>
      <c r="N39" s="57">
        <f t="shared" si="5"/>
        <v>103.03614457831326</v>
      </c>
      <c r="O39" s="64">
        <f t="shared" si="23"/>
        <v>22553.900000000009</v>
      </c>
      <c r="P39" s="87">
        <f t="shared" si="24"/>
        <v>25427.800000000003</v>
      </c>
      <c r="Q39" s="59">
        <f t="shared" si="6"/>
        <v>2873.8999999999942</v>
      </c>
      <c r="R39" s="60">
        <f t="shared" si="7"/>
        <v>112.74236384838096</v>
      </c>
      <c r="S39" s="81">
        <f>SUM(S34:S38)</f>
        <v>100.19999999999999</v>
      </c>
      <c r="T39" s="82">
        <f>SUM(T34:T38)</f>
        <v>100.1</v>
      </c>
      <c r="U39" s="62">
        <f t="shared" si="8"/>
        <v>-9.9999999999994316E-2</v>
      </c>
      <c r="V39" s="60">
        <f t="shared" si="9"/>
        <v>99.900199600798416</v>
      </c>
      <c r="W39" s="81">
        <f>SUM(W34:W38)</f>
        <v>22846.699999999997</v>
      </c>
      <c r="X39" s="84">
        <f>SUM(X34:X38)</f>
        <v>25662.799999999996</v>
      </c>
      <c r="Y39" s="59">
        <f t="shared" si="10"/>
        <v>2816.0999999999985</v>
      </c>
      <c r="Z39" s="63">
        <f t="shared" si="11"/>
        <v>112.32606897276192</v>
      </c>
      <c r="AA39" s="63">
        <f t="shared" si="25"/>
        <v>-192.59999999998763</v>
      </c>
      <c r="AB39" s="63">
        <f t="shared" si="26"/>
        <v>-134.89999999999418</v>
      </c>
      <c r="AC39" s="59">
        <f t="shared" si="12"/>
        <v>57.699999999993452</v>
      </c>
      <c r="AD39" s="60">
        <f t="shared" si="13"/>
        <v>70.041536863968247</v>
      </c>
      <c r="AE39" s="113">
        <f t="shared" si="14"/>
        <v>-0.25562298837381692</v>
      </c>
    </row>
    <row r="40" spans="1:31" s="86" customFormat="1" ht="24.95" customHeight="1" thickBot="1">
      <c r="A40" s="267" t="s">
        <v>72</v>
      </c>
      <c r="B40" s="268"/>
      <c r="C40" s="85">
        <f>C11+C28+C33+C39</f>
        <v>921699.70000000019</v>
      </c>
      <c r="D40" s="85">
        <f>D11+D28+D33+D39</f>
        <v>894836.50000000012</v>
      </c>
      <c r="E40" s="83">
        <f t="shared" si="0"/>
        <v>-26863.20000000007</v>
      </c>
      <c r="F40" s="57">
        <f t="shared" si="1"/>
        <v>97.085471547837102</v>
      </c>
      <c r="G40" s="85">
        <f>G11+G28+G33+G39</f>
        <v>900704.29999999993</v>
      </c>
      <c r="H40" s="85">
        <f>H11+H28+H33+H39</f>
        <v>881984.3</v>
      </c>
      <c r="I40" s="57">
        <f t="shared" si="22"/>
        <v>-18719.999999999884</v>
      </c>
      <c r="J40" s="57">
        <f t="shared" si="3"/>
        <v>97.921626442773729</v>
      </c>
      <c r="K40" s="85">
        <f>K11+K28+K33+K39</f>
        <v>-1745.8999999999978</v>
      </c>
      <c r="L40" s="85">
        <f>L11+L28+L33+L39</f>
        <v>-32801.800000000003</v>
      </c>
      <c r="M40" s="57">
        <f t="shared" si="4"/>
        <v>-31055.900000000005</v>
      </c>
      <c r="N40" s="57">
        <f t="shared" si="5"/>
        <v>1878.7903087232969</v>
      </c>
      <c r="O40" s="64">
        <f t="shared" si="23"/>
        <v>20995.400000000256</v>
      </c>
      <c r="P40" s="87">
        <f t="shared" si="24"/>
        <v>12852.20000000007</v>
      </c>
      <c r="Q40" s="59">
        <f t="shared" si="6"/>
        <v>-8143.2000000001863</v>
      </c>
      <c r="R40" s="60">
        <f t="shared" si="7"/>
        <v>61.21436124103333</v>
      </c>
      <c r="S40" s="85">
        <f>S11+S28+S33+S39</f>
        <v>24799.699999999997</v>
      </c>
      <c r="T40" s="85">
        <f>T11+T28+T33+T39</f>
        <v>20933.3</v>
      </c>
      <c r="U40" s="62">
        <f t="shared" si="8"/>
        <v>-3866.3999999999978</v>
      </c>
      <c r="V40" s="60">
        <f t="shared" si="9"/>
        <v>84.409488824461604</v>
      </c>
      <c r="W40" s="85">
        <f>W11+W28+W33+W39</f>
        <v>144328.89999999997</v>
      </c>
      <c r="X40" s="85">
        <f>X11+X28+X33+X39</f>
        <v>162489</v>
      </c>
      <c r="Y40" s="59">
        <f t="shared" si="10"/>
        <v>18160.100000000035</v>
      </c>
      <c r="Z40" s="63">
        <f t="shared" si="11"/>
        <v>112.58244190872378</v>
      </c>
      <c r="AA40" s="63">
        <f t="shared" si="25"/>
        <v>-98533.799999999712</v>
      </c>
      <c r="AB40" s="63">
        <f t="shared" si="26"/>
        <v>-128703.49999999993</v>
      </c>
      <c r="AC40" s="59">
        <f t="shared" si="12"/>
        <v>-30169.700000000215</v>
      </c>
      <c r="AD40" s="60">
        <f t="shared" si="13"/>
        <v>130.61863035831388</v>
      </c>
      <c r="AE40" s="112">
        <f t="shared" si="14"/>
        <v>-3.6656752378786517</v>
      </c>
    </row>
    <row r="41" spans="1:31" ht="26.25" thickBot="1">
      <c r="A41" s="19" t="s">
        <v>73</v>
      </c>
      <c r="B41" s="28" t="s">
        <v>74</v>
      </c>
      <c r="C41" s="21">
        <v>4084.9</v>
      </c>
      <c r="D41" s="22">
        <v>4099</v>
      </c>
      <c r="E41" s="20">
        <f t="shared" si="0"/>
        <v>14.099999999999909</v>
      </c>
      <c r="F41" s="21">
        <f t="shared" si="1"/>
        <v>100.34517368846238</v>
      </c>
      <c r="G41" s="22">
        <v>3660.5</v>
      </c>
      <c r="H41" s="22">
        <v>3672.6</v>
      </c>
      <c r="I41" s="21">
        <f t="shared" si="22"/>
        <v>12.099999999999909</v>
      </c>
      <c r="J41" s="21">
        <f t="shared" si="3"/>
        <v>100.33055593498155</v>
      </c>
      <c r="K41" s="21">
        <v>-170</v>
      </c>
      <c r="L41" s="22">
        <v>-183.9</v>
      </c>
      <c r="M41" s="21">
        <f t="shared" si="4"/>
        <v>-13.900000000000006</v>
      </c>
      <c r="N41" s="21">
        <f t="shared" si="5"/>
        <v>108.17647058823529</v>
      </c>
      <c r="O41" s="24">
        <f t="shared" si="23"/>
        <v>424.40000000000009</v>
      </c>
      <c r="P41" s="24">
        <f t="shared" si="24"/>
        <v>426.40000000000009</v>
      </c>
      <c r="Q41" s="22">
        <f t="shared" si="6"/>
        <v>2</v>
      </c>
      <c r="R41" s="23">
        <f t="shared" si="7"/>
        <v>100.47125353440151</v>
      </c>
      <c r="S41" s="22">
        <v>164.4</v>
      </c>
      <c r="T41" s="22">
        <v>165.2</v>
      </c>
      <c r="U41" s="22">
        <f t="shared" si="8"/>
        <v>0.79999999999998295</v>
      </c>
      <c r="V41" s="23">
        <f t="shared" si="9"/>
        <v>100.48661800486617</v>
      </c>
      <c r="W41" s="22">
        <f>636.6+122.2</f>
        <v>758.80000000000007</v>
      </c>
      <c r="X41" s="22">
        <f>639.5+144.6</f>
        <v>784.1</v>
      </c>
      <c r="Y41" s="22">
        <f t="shared" si="10"/>
        <v>25.299999999999955</v>
      </c>
      <c r="Z41" s="24">
        <f t="shared" si="11"/>
        <v>103.3342119135477</v>
      </c>
      <c r="AA41" s="24">
        <f t="shared" si="25"/>
        <v>-170</v>
      </c>
      <c r="AB41" s="24">
        <f t="shared" si="26"/>
        <v>-192.49999999999989</v>
      </c>
      <c r="AC41" s="22">
        <f t="shared" si="12"/>
        <v>-22.499999999999886</v>
      </c>
      <c r="AD41" s="23">
        <f t="shared" si="13"/>
        <v>113.23529411764699</v>
      </c>
      <c r="AE41" s="111">
        <f t="shared" si="14"/>
        <v>-4.4864601122224936</v>
      </c>
    </row>
    <row r="42" spans="1:31" ht="26.25" thickBot="1">
      <c r="A42" s="29" t="s">
        <v>75</v>
      </c>
      <c r="B42" s="30" t="s">
        <v>76</v>
      </c>
      <c r="C42" s="8">
        <v>3017.6</v>
      </c>
      <c r="D42" s="10">
        <v>3023.5</v>
      </c>
      <c r="E42" s="8">
        <f t="shared" si="0"/>
        <v>5.9000000000000909</v>
      </c>
      <c r="F42" s="9">
        <f t="shared" si="1"/>
        <v>100.19551961823967</v>
      </c>
      <c r="G42" s="10">
        <v>2509.6</v>
      </c>
      <c r="H42" s="10">
        <v>2365.5</v>
      </c>
      <c r="I42" s="9">
        <f t="shared" si="22"/>
        <v>-144.09999999999991</v>
      </c>
      <c r="J42" s="9">
        <f t="shared" si="3"/>
        <v>94.258049091488687</v>
      </c>
      <c r="K42" s="8">
        <v>-247.1</v>
      </c>
      <c r="L42" s="10">
        <v>-57.1</v>
      </c>
      <c r="M42" s="9">
        <f t="shared" si="4"/>
        <v>190</v>
      </c>
      <c r="N42" s="9">
        <f t="shared" si="5"/>
        <v>23.108053419668153</v>
      </c>
      <c r="O42" s="12">
        <f t="shared" si="23"/>
        <v>508</v>
      </c>
      <c r="P42" s="12">
        <f t="shared" si="24"/>
        <v>658</v>
      </c>
      <c r="Q42" s="10">
        <f t="shared" si="6"/>
        <v>150</v>
      </c>
      <c r="R42" s="11">
        <f t="shared" si="7"/>
        <v>129.5275590551181</v>
      </c>
      <c r="S42" s="10">
        <v>198</v>
      </c>
      <c r="T42" s="10">
        <v>206.4</v>
      </c>
      <c r="U42" s="10">
        <f t="shared" si="8"/>
        <v>8.4000000000000057</v>
      </c>
      <c r="V42" s="11">
        <f t="shared" si="9"/>
        <v>104.24242424242425</v>
      </c>
      <c r="W42" s="10">
        <f>916+37.1</f>
        <v>953.1</v>
      </c>
      <c r="X42" s="10">
        <f>844.4+83.4</f>
        <v>927.8</v>
      </c>
      <c r="Y42" s="10">
        <f t="shared" si="10"/>
        <v>-25.300000000000068</v>
      </c>
      <c r="Z42" s="12">
        <f t="shared" si="11"/>
        <v>97.345504144370992</v>
      </c>
      <c r="AA42" s="12">
        <f t="shared" si="25"/>
        <v>-247.10000000000002</v>
      </c>
      <c r="AB42" s="12">
        <f t="shared" si="26"/>
        <v>-63.399999999999977</v>
      </c>
      <c r="AC42" s="10">
        <f t="shared" si="12"/>
        <v>183.70000000000005</v>
      </c>
      <c r="AD42" s="11">
        <f t="shared" si="13"/>
        <v>25.657628490489671</v>
      </c>
      <c r="AE42" s="109">
        <f t="shared" si="14"/>
        <v>-1.8885397717876633</v>
      </c>
    </row>
    <row r="43" spans="1:31" ht="25.5">
      <c r="A43" s="19" t="s">
        <v>77</v>
      </c>
      <c r="B43" s="4" t="s">
        <v>78</v>
      </c>
      <c r="C43" s="9">
        <v>2963.7</v>
      </c>
      <c r="D43" s="10">
        <v>3136.9</v>
      </c>
      <c r="E43" s="8">
        <f t="shared" si="0"/>
        <v>173.20000000000027</v>
      </c>
      <c r="F43" s="9">
        <f t="shared" si="1"/>
        <v>105.8440462934845</v>
      </c>
      <c r="G43" s="10">
        <v>2095.6</v>
      </c>
      <c r="H43" s="10">
        <v>2278.3000000000002</v>
      </c>
      <c r="I43" s="9">
        <f t="shared" si="22"/>
        <v>182.70000000000027</v>
      </c>
      <c r="J43" s="9">
        <f t="shared" si="3"/>
        <v>108.71826684481773</v>
      </c>
      <c r="K43" s="8">
        <v>130.19999999999999</v>
      </c>
      <c r="L43" s="10">
        <v>17.2</v>
      </c>
      <c r="M43" s="9">
        <f t="shared" si="4"/>
        <v>-112.99999999999999</v>
      </c>
      <c r="N43" s="9">
        <f t="shared" si="5"/>
        <v>13.210445468509985</v>
      </c>
      <c r="O43" s="12">
        <f t="shared" si="23"/>
        <v>868.09999999999991</v>
      </c>
      <c r="P43" s="12">
        <f t="shared" si="24"/>
        <v>858.59999999999991</v>
      </c>
      <c r="Q43" s="10">
        <f t="shared" si="6"/>
        <v>-9.5</v>
      </c>
      <c r="R43" s="11">
        <f t="shared" si="7"/>
        <v>98.905656030411237</v>
      </c>
      <c r="S43" s="10">
        <v>0.1</v>
      </c>
      <c r="T43" s="10"/>
      <c r="U43" s="10">
        <f t="shared" si="8"/>
        <v>-0.1</v>
      </c>
      <c r="V43" s="11">
        <f t="shared" si="9"/>
        <v>0</v>
      </c>
      <c r="W43" s="10">
        <f>2.5+624.4+92.8</f>
        <v>719.69999999999993</v>
      </c>
      <c r="X43" s="10">
        <f>777.6+137.5</f>
        <v>915.1</v>
      </c>
      <c r="Y43" s="10">
        <f t="shared" si="10"/>
        <v>195.40000000000009</v>
      </c>
      <c r="Z43" s="12">
        <f t="shared" si="11"/>
        <v>127.15020147283592</v>
      </c>
      <c r="AA43" s="12">
        <f t="shared" si="25"/>
        <v>148.5</v>
      </c>
      <c r="AB43" s="12">
        <f t="shared" si="26"/>
        <v>-56.500000000000114</v>
      </c>
      <c r="AC43" s="10">
        <f t="shared" si="12"/>
        <v>-205.00000000000011</v>
      </c>
      <c r="AD43" s="11">
        <f t="shared" si="13"/>
        <v>-38.047138047138127</v>
      </c>
      <c r="AE43" s="109">
        <f t="shared" si="14"/>
        <v>0.5483120277981447</v>
      </c>
    </row>
    <row r="44" spans="1:31" ht="25.5">
      <c r="A44" s="29" t="s">
        <v>79</v>
      </c>
      <c r="B44" s="2" t="s">
        <v>80</v>
      </c>
      <c r="C44" s="8">
        <v>3428.3</v>
      </c>
      <c r="D44" s="10">
        <v>3537.7</v>
      </c>
      <c r="E44" s="8">
        <f t="shared" si="0"/>
        <v>109.39999999999964</v>
      </c>
      <c r="F44" s="9">
        <f t="shared" si="1"/>
        <v>103.1910859609719</v>
      </c>
      <c r="G44" s="10">
        <v>3061.5</v>
      </c>
      <c r="H44" s="10">
        <v>3233.2</v>
      </c>
      <c r="I44" s="9">
        <f t="shared" si="22"/>
        <v>171.69999999999982</v>
      </c>
      <c r="J44" s="9">
        <f t="shared" si="3"/>
        <v>105.60836191409439</v>
      </c>
      <c r="K44" s="9">
        <v>-493.5</v>
      </c>
      <c r="L44" s="10">
        <v>-278.2</v>
      </c>
      <c r="M44" s="9">
        <f t="shared" si="4"/>
        <v>215.3</v>
      </c>
      <c r="N44" s="9">
        <f t="shared" si="5"/>
        <v>56.372847011144877</v>
      </c>
      <c r="O44" s="12">
        <f t="shared" si="23"/>
        <v>366.80000000000018</v>
      </c>
      <c r="P44" s="12">
        <f t="shared" si="24"/>
        <v>304.5</v>
      </c>
      <c r="Q44" s="10">
        <f t="shared" si="6"/>
        <v>-62.300000000000182</v>
      </c>
      <c r="R44" s="11">
        <f t="shared" si="7"/>
        <v>83.01526717557249</v>
      </c>
      <c r="S44" s="10">
        <v>166.1</v>
      </c>
      <c r="T44" s="10">
        <v>90.9</v>
      </c>
      <c r="U44" s="10">
        <f t="shared" si="8"/>
        <v>-75.199999999999989</v>
      </c>
      <c r="V44" s="11">
        <f t="shared" si="9"/>
        <v>54.726068633353407</v>
      </c>
      <c r="W44" s="10">
        <f>22.5+737+266.7</f>
        <v>1026.2</v>
      </c>
      <c r="X44" s="10">
        <f>472.5+201.1</f>
        <v>673.6</v>
      </c>
      <c r="Y44" s="10">
        <f t="shared" si="10"/>
        <v>-352.6</v>
      </c>
      <c r="Z44" s="12">
        <f t="shared" si="11"/>
        <v>65.640226076788153</v>
      </c>
      <c r="AA44" s="12">
        <f t="shared" si="25"/>
        <v>-493.29999999999984</v>
      </c>
      <c r="AB44" s="12">
        <f t="shared" si="26"/>
        <v>-278.20000000000005</v>
      </c>
      <c r="AC44" s="10">
        <f t="shared" si="12"/>
        <v>215.0999999999998</v>
      </c>
      <c r="AD44" s="11">
        <f t="shared" si="13"/>
        <v>56.395702412325186</v>
      </c>
      <c r="AE44" s="109">
        <f t="shared" si="14"/>
        <v>-7.8638663538457196</v>
      </c>
    </row>
    <row r="45" spans="1:31" ht="25.5">
      <c r="A45" s="19" t="s">
        <v>81</v>
      </c>
      <c r="B45" s="2" t="s">
        <v>82</v>
      </c>
      <c r="C45" s="9">
        <v>4192</v>
      </c>
      <c r="D45" s="10">
        <v>4251</v>
      </c>
      <c r="E45" s="8">
        <f t="shared" si="0"/>
        <v>59</v>
      </c>
      <c r="F45" s="9">
        <f t="shared" si="1"/>
        <v>101.40744274809161</v>
      </c>
      <c r="G45" s="10">
        <v>3662.9</v>
      </c>
      <c r="H45" s="10">
        <v>3686.3</v>
      </c>
      <c r="I45" s="9">
        <f t="shared" si="22"/>
        <v>23.400000000000091</v>
      </c>
      <c r="J45" s="9">
        <f t="shared" si="3"/>
        <v>100.63883807911765</v>
      </c>
      <c r="K45" s="9">
        <v>-343.4</v>
      </c>
      <c r="L45" s="10">
        <v>-155.5</v>
      </c>
      <c r="M45" s="9">
        <f t="shared" si="4"/>
        <v>187.89999999999998</v>
      </c>
      <c r="N45" s="9">
        <f t="shared" si="5"/>
        <v>45.282469423412927</v>
      </c>
      <c r="O45" s="12">
        <f t="shared" si="23"/>
        <v>529.09999999999991</v>
      </c>
      <c r="P45" s="12">
        <f t="shared" si="24"/>
        <v>564.69999999999982</v>
      </c>
      <c r="Q45" s="10">
        <f t="shared" si="6"/>
        <v>35.599999999999909</v>
      </c>
      <c r="R45" s="11">
        <f t="shared" si="7"/>
        <v>106.72840672840671</v>
      </c>
      <c r="S45" s="10">
        <v>21.3</v>
      </c>
      <c r="T45" s="10">
        <v>21.7</v>
      </c>
      <c r="U45" s="10">
        <f t="shared" si="8"/>
        <v>0.39999999999999858</v>
      </c>
      <c r="V45" s="11">
        <f t="shared" si="9"/>
        <v>101.87793427230045</v>
      </c>
      <c r="W45" s="10">
        <f>779.3+114.5</f>
        <v>893.8</v>
      </c>
      <c r="X45" s="10">
        <f>689.5+53</f>
        <v>742.5</v>
      </c>
      <c r="Y45" s="10">
        <f t="shared" si="10"/>
        <v>-151.29999999999995</v>
      </c>
      <c r="Z45" s="12">
        <f t="shared" si="11"/>
        <v>83.072275676885212</v>
      </c>
      <c r="AA45" s="12">
        <f t="shared" si="25"/>
        <v>-343.40000000000009</v>
      </c>
      <c r="AB45" s="12">
        <f t="shared" si="26"/>
        <v>-156.10000000000014</v>
      </c>
      <c r="AC45" s="10">
        <f t="shared" si="12"/>
        <v>187.29999999999995</v>
      </c>
      <c r="AD45" s="11">
        <f t="shared" si="13"/>
        <v>45.457192778101366</v>
      </c>
      <c r="AE45" s="109">
        <f t="shared" si="14"/>
        <v>-3.6579628322747588</v>
      </c>
    </row>
    <row r="46" spans="1:31" ht="25.5">
      <c r="A46" s="29" t="s">
        <v>83</v>
      </c>
      <c r="B46" s="2" t="s">
        <v>84</v>
      </c>
      <c r="C46" s="8">
        <v>3802.1</v>
      </c>
      <c r="D46" s="10">
        <v>4113.7</v>
      </c>
      <c r="E46" s="8">
        <f t="shared" si="0"/>
        <v>311.59999999999991</v>
      </c>
      <c r="F46" s="9">
        <f t="shared" si="1"/>
        <v>108.19547092396307</v>
      </c>
      <c r="G46" s="10">
        <v>3082.7</v>
      </c>
      <c r="H46" s="10">
        <v>3352.1</v>
      </c>
      <c r="I46" s="9">
        <f t="shared" si="22"/>
        <v>269.40000000000009</v>
      </c>
      <c r="J46" s="9">
        <f t="shared" si="3"/>
        <v>108.73909235410517</v>
      </c>
      <c r="K46" s="8">
        <v>-270.5</v>
      </c>
      <c r="L46" s="10">
        <v>-236.8</v>
      </c>
      <c r="M46" s="9">
        <f t="shared" si="4"/>
        <v>33.699999999999989</v>
      </c>
      <c r="N46" s="9">
        <f t="shared" si="5"/>
        <v>87.541589648798521</v>
      </c>
      <c r="O46" s="12">
        <f t="shared" si="23"/>
        <v>719.40000000000009</v>
      </c>
      <c r="P46" s="12">
        <f t="shared" si="24"/>
        <v>761.59999999999991</v>
      </c>
      <c r="Q46" s="10">
        <f t="shared" si="6"/>
        <v>42.199999999999818</v>
      </c>
      <c r="R46" s="11">
        <f t="shared" si="7"/>
        <v>105.86599944398107</v>
      </c>
      <c r="S46" s="10">
        <v>22.6</v>
      </c>
      <c r="T46" s="10">
        <v>180.8</v>
      </c>
      <c r="U46" s="10">
        <f t="shared" si="8"/>
        <v>158.20000000000002</v>
      </c>
      <c r="V46" s="11">
        <f t="shared" si="9"/>
        <v>800</v>
      </c>
      <c r="W46" s="10">
        <f>424.2+589.3</f>
        <v>1013.5</v>
      </c>
      <c r="X46" s="10">
        <f>426.5+796</f>
        <v>1222.5</v>
      </c>
      <c r="Y46" s="10">
        <f t="shared" si="10"/>
        <v>209</v>
      </c>
      <c r="Z46" s="12">
        <f t="shared" si="11"/>
        <v>120.62160828811051</v>
      </c>
      <c r="AA46" s="12">
        <f t="shared" si="25"/>
        <v>-271.49999999999989</v>
      </c>
      <c r="AB46" s="12">
        <f t="shared" si="26"/>
        <v>-280.10000000000014</v>
      </c>
      <c r="AC46" s="10">
        <f t="shared" si="12"/>
        <v>-8.6000000000002501</v>
      </c>
      <c r="AD46" s="11">
        <f t="shared" si="13"/>
        <v>103.16758747697983</v>
      </c>
      <c r="AE46" s="109">
        <f t="shared" si="14"/>
        <v>-5.756375039502152</v>
      </c>
    </row>
    <row r="47" spans="1:31" ht="25.5">
      <c r="A47" s="19" t="s">
        <v>85</v>
      </c>
      <c r="B47" s="2" t="s">
        <v>86</v>
      </c>
      <c r="C47" s="8">
        <v>1675.8</v>
      </c>
      <c r="D47" s="10">
        <v>1683.4</v>
      </c>
      <c r="E47" s="8">
        <f t="shared" si="0"/>
        <v>7.6000000000001364</v>
      </c>
      <c r="F47" s="9">
        <f t="shared" si="1"/>
        <v>100.45351473922904</v>
      </c>
      <c r="G47" s="10">
        <v>1370.9</v>
      </c>
      <c r="H47" s="10">
        <v>1431</v>
      </c>
      <c r="I47" s="9">
        <f t="shared" si="22"/>
        <v>60.099999999999909</v>
      </c>
      <c r="J47" s="9">
        <f t="shared" si="3"/>
        <v>104.38398132613611</v>
      </c>
      <c r="K47" s="8">
        <v>-98.4</v>
      </c>
      <c r="L47" s="10">
        <v>-26.3</v>
      </c>
      <c r="M47" s="9">
        <f t="shared" si="4"/>
        <v>72.100000000000009</v>
      </c>
      <c r="N47" s="9">
        <f t="shared" si="5"/>
        <v>26.727642276422763</v>
      </c>
      <c r="O47" s="12">
        <f t="shared" si="23"/>
        <v>304.89999999999986</v>
      </c>
      <c r="P47" s="12">
        <f t="shared" si="24"/>
        <v>252.40000000000009</v>
      </c>
      <c r="Q47" s="10">
        <f t="shared" si="6"/>
        <v>-52.499999999999773</v>
      </c>
      <c r="R47" s="11">
        <f t="shared" si="7"/>
        <v>82.78123975073801</v>
      </c>
      <c r="S47" s="10"/>
      <c r="T47" s="10">
        <v>139.30000000000001</v>
      </c>
      <c r="U47" s="10">
        <f t="shared" si="8"/>
        <v>139.30000000000001</v>
      </c>
      <c r="V47" s="11">
        <v>0</v>
      </c>
      <c r="W47" s="10">
        <f>362.3+41</f>
        <v>403.3</v>
      </c>
      <c r="X47" s="10">
        <f>336.8+76.7</f>
        <v>413.5</v>
      </c>
      <c r="Y47" s="10">
        <f t="shared" si="10"/>
        <v>10.199999999999989</v>
      </c>
      <c r="Z47" s="12">
        <f t="shared" si="11"/>
        <v>102.52913463922637</v>
      </c>
      <c r="AA47" s="12">
        <f t="shared" si="25"/>
        <v>-98.400000000000148</v>
      </c>
      <c r="AB47" s="12">
        <f t="shared" si="26"/>
        <v>-21.799999999999898</v>
      </c>
      <c r="AC47" s="10">
        <f t="shared" si="12"/>
        <v>76.60000000000025</v>
      </c>
      <c r="AD47" s="11">
        <f t="shared" si="13"/>
        <v>22.15447154471531</v>
      </c>
      <c r="AE47" s="109">
        <f t="shared" si="14"/>
        <v>-1.5623143637875727</v>
      </c>
    </row>
    <row r="48" spans="1:31" ht="25.5">
      <c r="A48" s="29" t="s">
        <v>87</v>
      </c>
      <c r="B48" s="2" t="s">
        <v>88</v>
      </c>
      <c r="C48" s="9">
        <v>1756.5</v>
      </c>
      <c r="D48" s="10">
        <v>1722.5</v>
      </c>
      <c r="E48" s="8">
        <f t="shared" si="0"/>
        <v>-34</v>
      </c>
      <c r="F48" s="9">
        <f t="shared" si="1"/>
        <v>98.064332479362378</v>
      </c>
      <c r="G48" s="10">
        <v>841.3</v>
      </c>
      <c r="H48" s="10">
        <v>861.8</v>
      </c>
      <c r="I48" s="9">
        <f t="shared" si="22"/>
        <v>20.5</v>
      </c>
      <c r="J48" s="9">
        <f t="shared" si="3"/>
        <v>102.43670509925116</v>
      </c>
      <c r="K48" s="9">
        <v>325.60000000000002</v>
      </c>
      <c r="L48" s="10">
        <v>-10.6</v>
      </c>
      <c r="M48" s="9">
        <f t="shared" si="4"/>
        <v>-336.20000000000005</v>
      </c>
      <c r="N48" s="9">
        <f t="shared" si="5"/>
        <v>-3.2555282555282554</v>
      </c>
      <c r="O48" s="12">
        <f t="shared" si="23"/>
        <v>915.2</v>
      </c>
      <c r="P48" s="12">
        <f t="shared" si="24"/>
        <v>860.7</v>
      </c>
      <c r="Q48" s="10">
        <f t="shared" si="6"/>
        <v>-54.5</v>
      </c>
      <c r="R48" s="11">
        <f t="shared" si="7"/>
        <v>94.04501748251748</v>
      </c>
      <c r="S48" s="10"/>
      <c r="T48" s="10">
        <v>7.4</v>
      </c>
      <c r="U48" s="10">
        <f t="shared" si="8"/>
        <v>7.4</v>
      </c>
      <c r="V48" s="11">
        <v>0</v>
      </c>
      <c r="W48" s="10">
        <f>710.5+48</f>
        <v>758.5</v>
      </c>
      <c r="X48" s="10">
        <f>768.8+108</f>
        <v>876.8</v>
      </c>
      <c r="Y48" s="10">
        <f t="shared" si="10"/>
        <v>118.29999999999995</v>
      </c>
      <c r="Z48" s="12">
        <f t="shared" si="11"/>
        <v>115.59657218193804</v>
      </c>
      <c r="AA48" s="12">
        <f t="shared" si="25"/>
        <v>156.70000000000005</v>
      </c>
      <c r="AB48" s="12">
        <f t="shared" si="26"/>
        <v>-8.6999999999999318</v>
      </c>
      <c r="AC48" s="10">
        <f t="shared" si="12"/>
        <v>-165.39999999999998</v>
      </c>
      <c r="AD48" s="11">
        <f t="shared" si="13"/>
        <v>-5.5520102105934459</v>
      </c>
      <c r="AE48" s="109">
        <f t="shared" si="14"/>
        <v>-0.61538461538461542</v>
      </c>
    </row>
    <row r="49" spans="1:31" ht="25.5">
      <c r="A49" s="19" t="s">
        <v>89</v>
      </c>
      <c r="B49" s="2" t="s">
        <v>90</v>
      </c>
      <c r="C49" s="9">
        <v>2580.9</v>
      </c>
      <c r="D49" s="10">
        <v>2628.6</v>
      </c>
      <c r="E49" s="8">
        <f t="shared" si="0"/>
        <v>47.699999999999818</v>
      </c>
      <c r="F49" s="9">
        <f t="shared" si="1"/>
        <v>101.84819249099151</v>
      </c>
      <c r="G49" s="10">
        <v>2063.9</v>
      </c>
      <c r="H49" s="10">
        <v>2054</v>
      </c>
      <c r="I49" s="9">
        <f t="shared" si="22"/>
        <v>-9.9000000000000909</v>
      </c>
      <c r="J49" s="9">
        <f t="shared" si="3"/>
        <v>99.520325597170398</v>
      </c>
      <c r="K49" s="9">
        <v>-40.4</v>
      </c>
      <c r="L49" s="10">
        <v>7.7</v>
      </c>
      <c r="M49" s="9">
        <f t="shared" si="4"/>
        <v>48.1</v>
      </c>
      <c r="N49" s="9">
        <f t="shared" si="5"/>
        <v>-19.059405940594061</v>
      </c>
      <c r="O49" s="12">
        <f t="shared" si="23"/>
        <v>517</v>
      </c>
      <c r="P49" s="12">
        <f t="shared" si="24"/>
        <v>574.59999999999991</v>
      </c>
      <c r="Q49" s="10">
        <f t="shared" si="6"/>
        <v>57.599999999999909</v>
      </c>
      <c r="R49" s="11">
        <f t="shared" si="7"/>
        <v>111.14119922630559</v>
      </c>
      <c r="S49" s="10"/>
      <c r="T49" s="10"/>
      <c r="U49" s="10">
        <f t="shared" si="8"/>
        <v>0</v>
      </c>
      <c r="V49" s="11">
        <v>0</v>
      </c>
      <c r="W49" s="10">
        <f>527.6+29.8</f>
        <v>557.4</v>
      </c>
      <c r="X49" s="10">
        <f>526.4+39.2</f>
        <v>565.6</v>
      </c>
      <c r="Y49" s="10">
        <f t="shared" si="10"/>
        <v>8.2000000000000455</v>
      </c>
      <c r="Z49" s="12">
        <f t="shared" si="11"/>
        <v>101.47111589522785</v>
      </c>
      <c r="AA49" s="12">
        <f t="shared" si="25"/>
        <v>-40.399999999999977</v>
      </c>
      <c r="AB49" s="12">
        <f t="shared" si="26"/>
        <v>8.9999999999998863</v>
      </c>
      <c r="AC49" s="10">
        <f t="shared" si="12"/>
        <v>49.399999999999864</v>
      </c>
      <c r="AD49" s="11">
        <f t="shared" si="13"/>
        <v>-22.277227722772007</v>
      </c>
      <c r="AE49" s="109">
        <f t="shared" si="14"/>
        <v>0.29293159856958079</v>
      </c>
    </row>
    <row r="50" spans="1:31" ht="25.5">
      <c r="A50" s="29" t="s">
        <v>91</v>
      </c>
      <c r="B50" s="2" t="s">
        <v>92</v>
      </c>
      <c r="C50" s="8">
        <v>1830.6</v>
      </c>
      <c r="D50" s="10">
        <v>1814.3</v>
      </c>
      <c r="E50" s="8">
        <f t="shared" si="0"/>
        <v>-16.299999999999955</v>
      </c>
      <c r="F50" s="9">
        <f t="shared" si="1"/>
        <v>99.109581557959132</v>
      </c>
      <c r="G50" s="10">
        <v>1092.9000000000001</v>
      </c>
      <c r="H50" s="10">
        <v>1120.4000000000001</v>
      </c>
      <c r="I50" s="9">
        <f t="shared" si="22"/>
        <v>27.5</v>
      </c>
      <c r="J50" s="9">
        <f t="shared" si="3"/>
        <v>102.51624119315584</v>
      </c>
      <c r="K50" s="9">
        <v>104.1</v>
      </c>
      <c r="L50" s="10">
        <v>32.299999999999997</v>
      </c>
      <c r="M50" s="9">
        <f t="shared" si="4"/>
        <v>-71.8</v>
      </c>
      <c r="N50" s="9">
        <f t="shared" si="5"/>
        <v>31.027857829010564</v>
      </c>
      <c r="O50" s="12">
        <f t="shared" si="23"/>
        <v>737.69999999999982</v>
      </c>
      <c r="P50" s="12">
        <f t="shared" si="24"/>
        <v>693.89999999999986</v>
      </c>
      <c r="Q50" s="10">
        <f t="shared" si="6"/>
        <v>-43.799999999999955</v>
      </c>
      <c r="R50" s="11">
        <f t="shared" si="7"/>
        <v>94.062627084180562</v>
      </c>
      <c r="S50" s="10"/>
      <c r="T50" s="10">
        <v>2.7</v>
      </c>
      <c r="U50" s="10">
        <f t="shared" si="8"/>
        <v>2.7</v>
      </c>
      <c r="V50" s="11">
        <v>0</v>
      </c>
      <c r="W50" s="10">
        <f>572.9+45.7</f>
        <v>618.6</v>
      </c>
      <c r="X50" s="10">
        <f>581.8+96.7</f>
        <v>678.5</v>
      </c>
      <c r="Y50" s="10">
        <f t="shared" si="10"/>
        <v>59.899999999999977</v>
      </c>
      <c r="Z50" s="12">
        <f t="shared" si="11"/>
        <v>109.68315551244746</v>
      </c>
      <c r="AA50" s="12">
        <f t="shared" si="25"/>
        <v>119.0999999999998</v>
      </c>
      <c r="AB50" s="12">
        <f t="shared" si="26"/>
        <v>18.099999999999909</v>
      </c>
      <c r="AC50" s="10">
        <f t="shared" si="12"/>
        <v>-100.99999999999989</v>
      </c>
      <c r="AD50" s="11">
        <f t="shared" si="13"/>
        <v>15.197313182199782</v>
      </c>
      <c r="AE50" s="109">
        <f t="shared" si="14"/>
        <v>1.7803009425122636</v>
      </c>
    </row>
    <row r="51" spans="1:31" ht="25.5">
      <c r="A51" s="19" t="s">
        <v>93</v>
      </c>
      <c r="B51" s="2" t="s">
        <v>94</v>
      </c>
      <c r="C51" s="9">
        <v>2051.5</v>
      </c>
      <c r="D51" s="10">
        <v>2036</v>
      </c>
      <c r="E51" s="8">
        <f t="shared" si="0"/>
        <v>-15.5</v>
      </c>
      <c r="F51" s="9">
        <f t="shared" si="1"/>
        <v>99.244455276626866</v>
      </c>
      <c r="G51" s="10">
        <v>1540.9</v>
      </c>
      <c r="H51" s="10">
        <v>1496.3</v>
      </c>
      <c r="I51" s="9">
        <f t="shared" si="22"/>
        <v>-44.600000000000136</v>
      </c>
      <c r="J51" s="9">
        <f t="shared" si="3"/>
        <v>97.105587643584911</v>
      </c>
      <c r="K51" s="8">
        <v>-1.8</v>
      </c>
      <c r="L51" s="10">
        <v>-72.5</v>
      </c>
      <c r="M51" s="9">
        <f t="shared" si="4"/>
        <v>-70.7</v>
      </c>
      <c r="N51" s="9">
        <f t="shared" si="5"/>
        <v>4027.7777777777778</v>
      </c>
      <c r="O51" s="12">
        <f t="shared" si="23"/>
        <v>510.59999999999991</v>
      </c>
      <c r="P51" s="12">
        <f t="shared" si="24"/>
        <v>539.70000000000005</v>
      </c>
      <c r="Q51" s="10">
        <f t="shared" si="6"/>
        <v>29.100000000000136</v>
      </c>
      <c r="R51" s="11">
        <f t="shared" si="7"/>
        <v>105.6991774383079</v>
      </c>
      <c r="S51" s="10"/>
      <c r="T51" s="10"/>
      <c r="U51" s="10">
        <f t="shared" si="8"/>
        <v>0</v>
      </c>
      <c r="V51" s="11">
        <v>0</v>
      </c>
      <c r="W51" s="10">
        <v>512.4</v>
      </c>
      <c r="X51" s="10">
        <v>612.20000000000005</v>
      </c>
      <c r="Y51" s="10">
        <f t="shared" si="10"/>
        <v>99.800000000000068</v>
      </c>
      <c r="Z51" s="12">
        <f t="shared" si="11"/>
        <v>119.47697111631538</v>
      </c>
      <c r="AA51" s="12">
        <f t="shared" si="25"/>
        <v>-1.8000000000000682</v>
      </c>
      <c r="AB51" s="12">
        <f t="shared" si="26"/>
        <v>-72.5</v>
      </c>
      <c r="AC51" s="10">
        <f t="shared" si="12"/>
        <v>-70.699999999999932</v>
      </c>
      <c r="AD51" s="11">
        <f t="shared" si="13"/>
        <v>4027.777777777625</v>
      </c>
      <c r="AE51" s="109">
        <f t="shared" si="14"/>
        <v>-3.5609037328094302</v>
      </c>
    </row>
    <row r="52" spans="1:31" ht="25.5">
      <c r="A52" s="29" t="s">
        <v>95</v>
      </c>
      <c r="B52" s="2" t="s">
        <v>96</v>
      </c>
      <c r="C52" s="8">
        <v>2462.3000000000002</v>
      </c>
      <c r="D52" s="10">
        <v>2468</v>
      </c>
      <c r="E52" s="8">
        <f t="shared" si="0"/>
        <v>5.6999999999998181</v>
      </c>
      <c r="F52" s="9">
        <f t="shared" si="1"/>
        <v>100.23149088250823</v>
      </c>
      <c r="G52" s="10">
        <v>1431.4</v>
      </c>
      <c r="H52" s="10">
        <v>1655.8</v>
      </c>
      <c r="I52" s="9">
        <f t="shared" si="22"/>
        <v>224.39999999999986</v>
      </c>
      <c r="J52" s="9">
        <f t="shared" si="3"/>
        <v>115.67695961995248</v>
      </c>
      <c r="K52" s="9">
        <v>10.6</v>
      </c>
      <c r="L52" s="10">
        <v>-177.5</v>
      </c>
      <c r="M52" s="9">
        <f t="shared" si="4"/>
        <v>-188.1</v>
      </c>
      <c r="N52" s="9">
        <f t="shared" si="5"/>
        <v>-1674.5283018867926</v>
      </c>
      <c r="O52" s="12">
        <f t="shared" si="23"/>
        <v>1030.9000000000001</v>
      </c>
      <c r="P52" s="12">
        <f t="shared" si="24"/>
        <v>812.2</v>
      </c>
      <c r="Q52" s="10">
        <f t="shared" si="6"/>
        <v>-218.70000000000005</v>
      </c>
      <c r="R52" s="11">
        <f t="shared" si="7"/>
        <v>78.785527209234658</v>
      </c>
      <c r="S52" s="10">
        <v>4.0999999999999996</v>
      </c>
      <c r="T52" s="10">
        <v>11.6</v>
      </c>
      <c r="U52" s="10">
        <f t="shared" si="8"/>
        <v>7.5</v>
      </c>
      <c r="V52" s="11">
        <f t="shared" si="9"/>
        <v>282.92682926829269</v>
      </c>
      <c r="W52" s="10">
        <f>972.7+57.1</f>
        <v>1029.8</v>
      </c>
      <c r="X52" s="10">
        <f>905.4+169.1</f>
        <v>1074.5</v>
      </c>
      <c r="Y52" s="10">
        <f t="shared" si="10"/>
        <v>44.700000000000045</v>
      </c>
      <c r="Z52" s="12">
        <f t="shared" si="11"/>
        <v>104.34064866964459</v>
      </c>
      <c r="AA52" s="12">
        <f t="shared" si="25"/>
        <v>5.2000000000000455</v>
      </c>
      <c r="AB52" s="12">
        <f t="shared" si="26"/>
        <v>-250.69999999999993</v>
      </c>
      <c r="AC52" s="10">
        <f t="shared" si="12"/>
        <v>-255.89999999999998</v>
      </c>
      <c r="AD52" s="11">
        <f t="shared" si="13"/>
        <v>-4821.153846153803</v>
      </c>
      <c r="AE52" s="109">
        <f t="shared" si="14"/>
        <v>-7.1920583468395458</v>
      </c>
    </row>
    <row r="53" spans="1:31" ht="25.5">
      <c r="A53" s="19" t="s">
        <v>97</v>
      </c>
      <c r="B53" s="2" t="s">
        <v>98</v>
      </c>
      <c r="C53" s="9">
        <v>2318.1999999999998</v>
      </c>
      <c r="D53" s="10">
        <v>2281.9</v>
      </c>
      <c r="E53" s="8">
        <f t="shared" si="0"/>
        <v>-36.299999999999727</v>
      </c>
      <c r="F53" s="9">
        <f t="shared" si="1"/>
        <v>98.434129928392736</v>
      </c>
      <c r="G53" s="10">
        <v>1688.1</v>
      </c>
      <c r="H53" s="10">
        <v>2672.7</v>
      </c>
      <c r="I53" s="9">
        <f t="shared" si="22"/>
        <v>984.59999999999991</v>
      </c>
      <c r="J53" s="9">
        <f t="shared" si="3"/>
        <v>158.32592855873466</v>
      </c>
      <c r="K53" s="9">
        <v>-0.8</v>
      </c>
      <c r="L53" s="10">
        <v>-130.1</v>
      </c>
      <c r="M53" s="9">
        <f t="shared" si="4"/>
        <v>-129.29999999999998</v>
      </c>
      <c r="N53" s="9">
        <f t="shared" si="5"/>
        <v>16262.499999999996</v>
      </c>
      <c r="O53" s="12">
        <f t="shared" si="23"/>
        <v>630.09999999999991</v>
      </c>
      <c r="P53" s="12">
        <f t="shared" si="24"/>
        <v>-390.79999999999973</v>
      </c>
      <c r="Q53" s="10">
        <f t="shared" si="6"/>
        <v>-1020.8999999999996</v>
      </c>
      <c r="R53" s="11">
        <f t="shared" si="7"/>
        <v>-62.021901285510204</v>
      </c>
      <c r="S53" s="10"/>
      <c r="T53" s="10">
        <v>983.2</v>
      </c>
      <c r="U53" s="10">
        <f t="shared" si="8"/>
        <v>983.2</v>
      </c>
      <c r="V53" s="11">
        <v>0</v>
      </c>
      <c r="W53" s="10">
        <f>572.1+57.5</f>
        <v>629.6</v>
      </c>
      <c r="X53" s="10">
        <f>599.1+57.3</f>
        <v>656.4</v>
      </c>
      <c r="Y53" s="10">
        <f t="shared" si="10"/>
        <v>26.799999999999955</v>
      </c>
      <c r="Z53" s="12">
        <f t="shared" si="11"/>
        <v>104.25667090216008</v>
      </c>
      <c r="AA53" s="12">
        <f t="shared" si="25"/>
        <v>0.49999999999988631</v>
      </c>
      <c r="AB53" s="12">
        <f t="shared" si="26"/>
        <v>-63.999999999999659</v>
      </c>
      <c r="AC53" s="10">
        <f t="shared" si="12"/>
        <v>-64.499999999999545</v>
      </c>
      <c r="AD53" s="11">
        <f t="shared" si="13"/>
        <v>-12800.000000002841</v>
      </c>
      <c r="AE53" s="109">
        <f t="shared" si="14"/>
        <v>-5.7013891932161789</v>
      </c>
    </row>
    <row r="54" spans="1:31" ht="25.5">
      <c r="A54" s="29" t="s">
        <v>99</v>
      </c>
      <c r="B54" s="2" t="s">
        <v>100</v>
      </c>
      <c r="C54" s="9">
        <v>3996.7</v>
      </c>
      <c r="D54" s="10">
        <v>4021.5</v>
      </c>
      <c r="E54" s="8">
        <f t="shared" si="0"/>
        <v>24.800000000000182</v>
      </c>
      <c r="F54" s="9">
        <f t="shared" si="1"/>
        <v>100.62051192233594</v>
      </c>
      <c r="G54" s="10">
        <v>2600.1</v>
      </c>
      <c r="H54" s="10">
        <v>2745.7</v>
      </c>
      <c r="I54" s="9">
        <f t="shared" si="22"/>
        <v>145.59999999999991</v>
      </c>
      <c r="J54" s="9">
        <f t="shared" si="3"/>
        <v>105.59978462366833</v>
      </c>
      <c r="K54" s="9">
        <v>-40.200000000000003</v>
      </c>
      <c r="L54" s="10">
        <v>-73.099999999999994</v>
      </c>
      <c r="M54" s="9">
        <f t="shared" si="4"/>
        <v>-32.899999999999991</v>
      </c>
      <c r="N54" s="9">
        <f t="shared" si="5"/>
        <v>181.84079601990047</v>
      </c>
      <c r="O54" s="12">
        <f t="shared" si="23"/>
        <v>1396.6</v>
      </c>
      <c r="P54" s="12">
        <f t="shared" si="24"/>
        <v>1275.8000000000002</v>
      </c>
      <c r="Q54" s="10">
        <f t="shared" si="6"/>
        <v>-120.79999999999973</v>
      </c>
      <c r="R54" s="11">
        <f t="shared" si="7"/>
        <v>91.350422454532449</v>
      </c>
      <c r="S54" s="10">
        <v>72.400000000000006</v>
      </c>
      <c r="T54" s="10">
        <v>70</v>
      </c>
      <c r="U54" s="10">
        <f t="shared" si="8"/>
        <v>-2.4000000000000057</v>
      </c>
      <c r="V54" s="11">
        <f t="shared" si="9"/>
        <v>96.685082872928177</v>
      </c>
      <c r="W54" s="10">
        <f>1167.5+129.1</f>
        <v>1296.5999999999999</v>
      </c>
      <c r="X54" s="10">
        <f>1104+164.3</f>
        <v>1268.3</v>
      </c>
      <c r="Y54" s="10">
        <f t="shared" si="10"/>
        <v>-28.299999999999955</v>
      </c>
      <c r="Z54" s="12">
        <f t="shared" si="11"/>
        <v>97.817368502236619</v>
      </c>
      <c r="AA54" s="12">
        <f t="shared" si="25"/>
        <v>172.40000000000009</v>
      </c>
      <c r="AB54" s="12">
        <f t="shared" si="26"/>
        <v>77.500000000000227</v>
      </c>
      <c r="AC54" s="10">
        <f t="shared" si="12"/>
        <v>-94.899999999999864</v>
      </c>
      <c r="AD54" s="11">
        <f t="shared" si="13"/>
        <v>44.953596287703121</v>
      </c>
      <c r="AE54" s="109">
        <f t="shared" si="14"/>
        <v>-1.8177297028471961</v>
      </c>
    </row>
    <row r="55" spans="1:31" ht="25.5">
      <c r="A55" s="19" t="s">
        <v>101</v>
      </c>
      <c r="B55" s="2" t="s">
        <v>102</v>
      </c>
      <c r="C55" s="8">
        <v>4055.9</v>
      </c>
      <c r="D55" s="10">
        <v>4076.1</v>
      </c>
      <c r="E55" s="8">
        <f t="shared" si="0"/>
        <v>20.199999999999818</v>
      </c>
      <c r="F55" s="9">
        <f t="shared" si="1"/>
        <v>100.49803989250228</v>
      </c>
      <c r="G55" s="10">
        <v>3382.2</v>
      </c>
      <c r="H55" s="10">
        <v>3192.3</v>
      </c>
      <c r="I55" s="9">
        <f t="shared" si="22"/>
        <v>-189.89999999999964</v>
      </c>
      <c r="J55" s="9">
        <f t="shared" si="3"/>
        <v>94.385311335816937</v>
      </c>
      <c r="K55" s="8">
        <v>-177.3</v>
      </c>
      <c r="L55" s="10">
        <v>-4.9000000000000004</v>
      </c>
      <c r="M55" s="9">
        <f t="shared" si="4"/>
        <v>172.4</v>
      </c>
      <c r="N55" s="9">
        <f t="shared" si="5"/>
        <v>2.7636773829667232</v>
      </c>
      <c r="O55" s="12">
        <f t="shared" si="23"/>
        <v>673.70000000000027</v>
      </c>
      <c r="P55" s="12">
        <f t="shared" si="24"/>
        <v>883.79999999999973</v>
      </c>
      <c r="Q55" s="10">
        <f t="shared" si="6"/>
        <v>210.09999999999945</v>
      </c>
      <c r="R55" s="11">
        <f t="shared" si="7"/>
        <v>131.18598782841019</v>
      </c>
      <c r="S55" s="10">
        <v>4.7</v>
      </c>
      <c r="T55" s="10">
        <v>11</v>
      </c>
      <c r="U55" s="10">
        <f t="shared" si="8"/>
        <v>6.3</v>
      </c>
      <c r="V55" s="11">
        <f t="shared" si="9"/>
        <v>234.04255319148936</v>
      </c>
      <c r="W55" s="10">
        <f>747.7+107.9</f>
        <v>855.6</v>
      </c>
      <c r="X55" s="10">
        <f>761.1+133.8</f>
        <v>894.90000000000009</v>
      </c>
      <c r="Y55" s="10">
        <f t="shared" si="10"/>
        <v>39.300000000000068</v>
      </c>
      <c r="Z55" s="12">
        <f t="shared" si="11"/>
        <v>104.59326788218794</v>
      </c>
      <c r="AA55" s="12">
        <f t="shared" si="25"/>
        <v>-177.1999999999997</v>
      </c>
      <c r="AB55" s="12">
        <f t="shared" si="26"/>
        <v>-0.1000000000003638</v>
      </c>
      <c r="AC55" s="10">
        <f t="shared" si="12"/>
        <v>177.09999999999934</v>
      </c>
      <c r="AD55" s="11">
        <f t="shared" si="13"/>
        <v>5.6433408578083502E-2</v>
      </c>
      <c r="AE55" s="109">
        <f t="shared" si="14"/>
        <v>-0.12021294865189766</v>
      </c>
    </row>
    <row r="56" spans="1:31" ht="25.5">
      <c r="A56" s="29" t="s">
        <v>103</v>
      </c>
      <c r="B56" s="2" t="s">
        <v>104</v>
      </c>
      <c r="C56" s="8">
        <v>3781.6</v>
      </c>
      <c r="D56" s="10">
        <v>4055.3</v>
      </c>
      <c r="E56" s="8">
        <f t="shared" si="0"/>
        <v>273.70000000000027</v>
      </c>
      <c r="F56" s="9">
        <f t="shared" si="1"/>
        <v>107.23767717368311</v>
      </c>
      <c r="G56" s="10">
        <v>2953.4</v>
      </c>
      <c r="H56" s="10">
        <v>3203.3</v>
      </c>
      <c r="I56" s="9">
        <f t="shared" si="22"/>
        <v>249.90000000000009</v>
      </c>
      <c r="J56" s="9">
        <f t="shared" si="3"/>
        <v>108.4614342791359</v>
      </c>
      <c r="K56" s="8">
        <v>149.30000000000001</v>
      </c>
      <c r="L56" s="10">
        <v>-56.1</v>
      </c>
      <c r="M56" s="9">
        <f t="shared" si="4"/>
        <v>-205.4</v>
      </c>
      <c r="N56" s="9">
        <f t="shared" si="5"/>
        <v>-37.575351640991286</v>
      </c>
      <c r="O56" s="12">
        <f t="shared" si="23"/>
        <v>828.19999999999982</v>
      </c>
      <c r="P56" s="12">
        <f t="shared" si="24"/>
        <v>852</v>
      </c>
      <c r="Q56" s="10">
        <f t="shared" si="6"/>
        <v>23.800000000000182</v>
      </c>
      <c r="R56" s="11">
        <f t="shared" si="7"/>
        <v>102.8737020043468</v>
      </c>
      <c r="S56" s="10">
        <v>254.8</v>
      </c>
      <c r="T56" s="10">
        <v>18.8</v>
      </c>
      <c r="U56" s="10">
        <f t="shared" si="8"/>
        <v>-236</v>
      </c>
      <c r="V56" s="11">
        <f t="shared" si="9"/>
        <v>7.3783359497645211</v>
      </c>
      <c r="W56" s="10">
        <f>754.9+147.6</f>
        <v>902.5</v>
      </c>
      <c r="X56" s="10">
        <f>701.4+294</f>
        <v>995.4</v>
      </c>
      <c r="Y56" s="10">
        <f t="shared" si="10"/>
        <v>92.899999999999977</v>
      </c>
      <c r="Z56" s="12">
        <f t="shared" si="11"/>
        <v>110.29362880886427</v>
      </c>
      <c r="AA56" s="12">
        <f t="shared" si="25"/>
        <v>180.49999999999977</v>
      </c>
      <c r="AB56" s="12">
        <f t="shared" si="26"/>
        <v>-124.60000000000002</v>
      </c>
      <c r="AC56" s="10">
        <f t="shared" si="12"/>
        <v>-305.0999999999998</v>
      </c>
      <c r="AD56" s="11">
        <f t="shared" si="13"/>
        <v>-69.030470914127534</v>
      </c>
      <c r="AE56" s="109">
        <f t="shared" si="14"/>
        <v>-1.3833748427983132</v>
      </c>
    </row>
    <row r="57" spans="1:31" ht="25.5">
      <c r="A57" s="19" t="s">
        <v>105</v>
      </c>
      <c r="B57" s="2" t="s">
        <v>106</v>
      </c>
      <c r="C57" s="8">
        <v>2403.5</v>
      </c>
      <c r="D57" s="10">
        <v>2395.8000000000002</v>
      </c>
      <c r="E57" s="8">
        <f t="shared" si="0"/>
        <v>-7.6999999999998181</v>
      </c>
      <c r="F57" s="9">
        <f t="shared" si="1"/>
        <v>99.679633867276891</v>
      </c>
      <c r="G57" s="10">
        <v>2202.9</v>
      </c>
      <c r="H57" s="10">
        <v>2386.5</v>
      </c>
      <c r="I57" s="9">
        <f t="shared" si="22"/>
        <v>183.59999999999991</v>
      </c>
      <c r="J57" s="9">
        <f t="shared" si="3"/>
        <v>108.33446820100777</v>
      </c>
      <c r="K57" s="9">
        <v>-74.8</v>
      </c>
      <c r="L57" s="10">
        <v>-78.2</v>
      </c>
      <c r="M57" s="9">
        <f t="shared" si="4"/>
        <v>-3.4000000000000057</v>
      </c>
      <c r="N57" s="9">
        <f t="shared" si="5"/>
        <v>104.54545454545456</v>
      </c>
      <c r="O57" s="12">
        <f t="shared" si="23"/>
        <v>200.59999999999991</v>
      </c>
      <c r="P57" s="12">
        <f t="shared" si="24"/>
        <v>9.3000000000001819</v>
      </c>
      <c r="Q57" s="10">
        <f t="shared" si="6"/>
        <v>-191.29999999999973</v>
      </c>
      <c r="R57" s="11">
        <f t="shared" si="7"/>
        <v>4.6360917248256159</v>
      </c>
      <c r="S57" s="10"/>
      <c r="T57" s="10">
        <v>234.6</v>
      </c>
      <c r="U57" s="10">
        <f t="shared" si="8"/>
        <v>234.6</v>
      </c>
      <c r="V57" s="11">
        <v>0</v>
      </c>
      <c r="W57" s="10">
        <f>42+325.2+111.7</f>
        <v>478.9</v>
      </c>
      <c r="X57" s="10">
        <f>51.2+374+51.8</f>
        <v>477</v>
      </c>
      <c r="Y57" s="10">
        <f t="shared" si="10"/>
        <v>-1.8999999999999773</v>
      </c>
      <c r="Z57" s="12">
        <f t="shared" si="11"/>
        <v>99.603257465024015</v>
      </c>
      <c r="AA57" s="12">
        <f t="shared" si="25"/>
        <v>-278.30000000000007</v>
      </c>
      <c r="AB57" s="12">
        <f t="shared" si="26"/>
        <v>-233.09999999999982</v>
      </c>
      <c r="AC57" s="10">
        <f t="shared" si="12"/>
        <v>45.200000000000244</v>
      </c>
      <c r="AD57" s="11">
        <f t="shared" si="13"/>
        <v>83.758533956162324</v>
      </c>
      <c r="AE57" s="109">
        <f t="shared" si="14"/>
        <v>-3.2640454128057432</v>
      </c>
    </row>
    <row r="58" spans="1:31" ht="25.5">
      <c r="A58" s="29" t="s">
        <v>107</v>
      </c>
      <c r="B58" s="2" t="s">
        <v>108</v>
      </c>
      <c r="C58" s="9">
        <v>1992</v>
      </c>
      <c r="D58" s="10">
        <v>2076.1</v>
      </c>
      <c r="E58" s="8">
        <f t="shared" si="0"/>
        <v>84.099999999999909</v>
      </c>
      <c r="F58" s="9">
        <f t="shared" si="1"/>
        <v>104.2218875502008</v>
      </c>
      <c r="G58" s="10">
        <v>1366.5</v>
      </c>
      <c r="H58" s="10">
        <v>1316.1</v>
      </c>
      <c r="I58" s="9">
        <f t="shared" si="22"/>
        <v>-50.400000000000091</v>
      </c>
      <c r="J58" s="9">
        <f t="shared" si="3"/>
        <v>96.31174533479691</v>
      </c>
      <c r="K58" s="9">
        <v>-56.8</v>
      </c>
      <c r="L58" s="10">
        <v>35.1</v>
      </c>
      <c r="M58" s="9">
        <f t="shared" si="4"/>
        <v>91.9</v>
      </c>
      <c r="N58" s="9">
        <f t="shared" si="5"/>
        <v>-61.795774647887328</v>
      </c>
      <c r="O58" s="12">
        <f t="shared" si="23"/>
        <v>625.5</v>
      </c>
      <c r="P58" s="12">
        <f t="shared" si="24"/>
        <v>760</v>
      </c>
      <c r="Q58" s="10">
        <f t="shared" si="6"/>
        <v>134.5</v>
      </c>
      <c r="R58" s="11">
        <f t="shared" si="7"/>
        <v>121.50279776179056</v>
      </c>
      <c r="S58" s="10"/>
      <c r="T58" s="10"/>
      <c r="U58" s="10">
        <f t="shared" si="8"/>
        <v>0</v>
      </c>
      <c r="V58" s="11">
        <v>0</v>
      </c>
      <c r="W58" s="10">
        <f>719.5+41.2</f>
        <v>760.7</v>
      </c>
      <c r="X58" s="10">
        <f>713.5+6.6</f>
        <v>720.1</v>
      </c>
      <c r="Y58" s="10">
        <f t="shared" si="10"/>
        <v>-40.600000000000023</v>
      </c>
      <c r="Z58" s="12">
        <f t="shared" si="11"/>
        <v>94.662810569212567</v>
      </c>
      <c r="AA58" s="12">
        <f t="shared" si="25"/>
        <v>-135.20000000000005</v>
      </c>
      <c r="AB58" s="12">
        <f t="shared" si="26"/>
        <v>39.899999999999977</v>
      </c>
      <c r="AC58" s="10">
        <f t="shared" si="12"/>
        <v>175.10000000000002</v>
      </c>
      <c r="AD58" s="11">
        <f t="shared" si="13"/>
        <v>-29.511834319526603</v>
      </c>
      <c r="AE58" s="109">
        <f t="shared" si="14"/>
        <v>1.6906700062617408</v>
      </c>
    </row>
    <row r="59" spans="1:31" ht="25.5">
      <c r="A59" s="19" t="s">
        <v>109</v>
      </c>
      <c r="B59" s="2" t="s">
        <v>110</v>
      </c>
      <c r="C59" s="8">
        <v>3209.5</v>
      </c>
      <c r="D59" s="10">
        <v>3325.2</v>
      </c>
      <c r="E59" s="8">
        <f t="shared" si="0"/>
        <v>115.69999999999982</v>
      </c>
      <c r="F59" s="9">
        <f t="shared" si="1"/>
        <v>103.60492288518459</v>
      </c>
      <c r="G59" s="10">
        <v>2517.9</v>
      </c>
      <c r="H59" s="10">
        <v>2679.1</v>
      </c>
      <c r="I59" s="9">
        <f t="shared" si="22"/>
        <v>161.19999999999982</v>
      </c>
      <c r="J59" s="9">
        <f t="shared" si="3"/>
        <v>106.4021605306009</v>
      </c>
      <c r="K59" s="9">
        <v>-239.9</v>
      </c>
      <c r="L59" s="10">
        <v>-84.3</v>
      </c>
      <c r="M59" s="9">
        <f t="shared" si="4"/>
        <v>155.60000000000002</v>
      </c>
      <c r="N59" s="9">
        <f t="shared" si="5"/>
        <v>35.139641517298877</v>
      </c>
      <c r="O59" s="12">
        <f t="shared" si="23"/>
        <v>691.59999999999991</v>
      </c>
      <c r="P59" s="12">
        <f t="shared" si="24"/>
        <v>646.09999999999991</v>
      </c>
      <c r="Q59" s="10">
        <f t="shared" si="6"/>
        <v>-45.5</v>
      </c>
      <c r="R59" s="11">
        <f t="shared" si="7"/>
        <v>93.421052631578945</v>
      </c>
      <c r="S59" s="10"/>
      <c r="T59" s="10"/>
      <c r="U59" s="10">
        <f t="shared" si="8"/>
        <v>0</v>
      </c>
      <c r="V59" s="11">
        <v>0</v>
      </c>
      <c r="W59" s="10">
        <f>369.6+561.7</f>
        <v>931.30000000000007</v>
      </c>
      <c r="X59" s="10">
        <f>165.1+490.9+127.6</f>
        <v>783.6</v>
      </c>
      <c r="Y59" s="10">
        <f t="shared" si="10"/>
        <v>-147.70000000000005</v>
      </c>
      <c r="Z59" s="12">
        <f t="shared" si="11"/>
        <v>84.140448834961873</v>
      </c>
      <c r="AA59" s="12">
        <f t="shared" si="25"/>
        <v>-239.70000000000016</v>
      </c>
      <c r="AB59" s="12">
        <f t="shared" si="26"/>
        <v>-137.50000000000011</v>
      </c>
      <c r="AC59" s="10">
        <f t="shared" si="12"/>
        <v>102.20000000000005</v>
      </c>
      <c r="AD59" s="11">
        <f t="shared" si="13"/>
        <v>57.363370880267006</v>
      </c>
      <c r="AE59" s="109">
        <f t="shared" si="14"/>
        <v>-2.5351858534824974</v>
      </c>
    </row>
    <row r="60" spans="1:31" ht="25.5">
      <c r="A60" s="29" t="s">
        <v>111</v>
      </c>
      <c r="B60" s="2" t="s">
        <v>112</v>
      </c>
      <c r="C60" s="9">
        <v>2768.6</v>
      </c>
      <c r="D60" s="10">
        <v>2908.3</v>
      </c>
      <c r="E60" s="8">
        <f t="shared" si="0"/>
        <v>139.70000000000027</v>
      </c>
      <c r="F60" s="9">
        <f t="shared" si="1"/>
        <v>105.04587155963303</v>
      </c>
      <c r="G60" s="10">
        <v>2003.3</v>
      </c>
      <c r="H60" s="10">
        <v>2316.3000000000002</v>
      </c>
      <c r="I60" s="9">
        <f t="shared" si="22"/>
        <v>313.00000000000023</v>
      </c>
      <c r="J60" s="9">
        <f>H60/G60*100</f>
        <v>115.62422003693906</v>
      </c>
      <c r="K60" s="8">
        <v>151.5</v>
      </c>
      <c r="L60" s="10">
        <v>-31</v>
      </c>
      <c r="M60" s="9">
        <f t="shared" si="4"/>
        <v>-182.5</v>
      </c>
      <c r="N60" s="9">
        <f t="shared" si="5"/>
        <v>-20.462046204620464</v>
      </c>
      <c r="O60" s="12">
        <f t="shared" si="23"/>
        <v>765.3</v>
      </c>
      <c r="P60" s="12">
        <f t="shared" si="24"/>
        <v>592</v>
      </c>
      <c r="Q60" s="10">
        <f t="shared" si="6"/>
        <v>-173.29999999999995</v>
      </c>
      <c r="R60" s="11">
        <f t="shared" si="7"/>
        <v>77.355285508950743</v>
      </c>
      <c r="S60" s="10"/>
      <c r="T60" s="10"/>
      <c r="U60" s="10">
        <f t="shared" si="8"/>
        <v>0</v>
      </c>
      <c r="V60" s="11">
        <v>0</v>
      </c>
      <c r="W60" s="10">
        <f>585.4+5.1</f>
        <v>590.5</v>
      </c>
      <c r="X60" s="10">
        <f>580.9+41.3</f>
        <v>622.19999999999993</v>
      </c>
      <c r="Y60" s="10">
        <f t="shared" si="10"/>
        <v>31.699999999999932</v>
      </c>
      <c r="Z60" s="12">
        <f t="shared" si="11"/>
        <v>105.36833192209991</v>
      </c>
      <c r="AA60" s="12">
        <f t="shared" si="25"/>
        <v>174.79999999999995</v>
      </c>
      <c r="AB60" s="12">
        <f t="shared" si="26"/>
        <v>-30.199999999999932</v>
      </c>
      <c r="AC60" s="10">
        <f t="shared" si="12"/>
        <v>-204.99999999999989</v>
      </c>
      <c r="AD60" s="11">
        <f t="shared" si="13"/>
        <v>-17.276887871853514</v>
      </c>
      <c r="AE60" s="109">
        <f t="shared" si="14"/>
        <v>-1.0659147955850496</v>
      </c>
    </row>
    <row r="61" spans="1:31" ht="25.5">
      <c r="A61" s="19" t="s">
        <v>113</v>
      </c>
      <c r="B61" s="2" t="s">
        <v>114</v>
      </c>
      <c r="C61" s="8">
        <v>4429.6000000000004</v>
      </c>
      <c r="D61" s="10">
        <v>4494.6000000000004</v>
      </c>
      <c r="E61" s="8">
        <f>D61-C61</f>
        <v>65</v>
      </c>
      <c r="F61" s="9">
        <f t="shared" si="1"/>
        <v>101.46740111973993</v>
      </c>
      <c r="G61" s="10">
        <v>3461.8</v>
      </c>
      <c r="H61" s="10">
        <v>3629.4</v>
      </c>
      <c r="I61" s="9">
        <f t="shared" si="22"/>
        <v>167.59999999999991</v>
      </c>
      <c r="J61" s="9">
        <f t="shared" si="3"/>
        <v>104.84141198220578</v>
      </c>
      <c r="K61" s="9">
        <v>47.9</v>
      </c>
      <c r="L61" s="10">
        <v>-87.5</v>
      </c>
      <c r="M61" s="9">
        <f t="shared" si="4"/>
        <v>-135.4</v>
      </c>
      <c r="N61" s="9">
        <f t="shared" si="5"/>
        <v>-182.6722338204593</v>
      </c>
      <c r="O61" s="12">
        <f t="shared" si="23"/>
        <v>967.80000000000018</v>
      </c>
      <c r="P61" s="12">
        <f t="shared" si="24"/>
        <v>865.20000000000027</v>
      </c>
      <c r="Q61" s="10">
        <f t="shared" si="6"/>
        <v>-102.59999999999991</v>
      </c>
      <c r="R61" s="11">
        <f t="shared" si="7"/>
        <v>89.398636081835107</v>
      </c>
      <c r="S61" s="10">
        <v>14.7</v>
      </c>
      <c r="T61" s="10">
        <v>20.5</v>
      </c>
      <c r="U61" s="10">
        <f t="shared" si="8"/>
        <v>5.8000000000000007</v>
      </c>
      <c r="V61" s="11">
        <f t="shared" si="9"/>
        <v>139.45578231292518</v>
      </c>
      <c r="W61" s="10">
        <f>887.4+34.9</f>
        <v>922.3</v>
      </c>
      <c r="X61" s="10">
        <f>936.4+97</f>
        <v>1033.4000000000001</v>
      </c>
      <c r="Y61" s="10">
        <f t="shared" si="10"/>
        <v>111.10000000000014</v>
      </c>
      <c r="Z61" s="12">
        <f t="shared" si="11"/>
        <v>112.04597202645562</v>
      </c>
      <c r="AA61" s="12">
        <f t="shared" si="25"/>
        <v>60.200000000000273</v>
      </c>
      <c r="AB61" s="12">
        <f t="shared" si="26"/>
        <v>-147.69999999999982</v>
      </c>
      <c r="AC61" s="10">
        <f t="shared" si="12"/>
        <v>-207.90000000000009</v>
      </c>
      <c r="AD61" s="11">
        <f t="shared" si="13"/>
        <v>-245.34883720930088</v>
      </c>
      <c r="AE61" s="109">
        <f t="shared" si="14"/>
        <v>-1.9467805811418144</v>
      </c>
    </row>
    <row r="62" spans="1:31" ht="25.5">
      <c r="A62" s="29" t="s">
        <v>115</v>
      </c>
      <c r="B62" s="2" t="s">
        <v>116</v>
      </c>
      <c r="C62" s="8">
        <v>2057.1</v>
      </c>
      <c r="D62" s="10">
        <v>2539.1999999999998</v>
      </c>
      <c r="E62" s="8">
        <f t="shared" si="0"/>
        <v>482.09999999999991</v>
      </c>
      <c r="F62" s="9">
        <f t="shared" si="1"/>
        <v>123.43590491468572</v>
      </c>
      <c r="G62" s="10">
        <v>1232.5999999999999</v>
      </c>
      <c r="H62" s="10">
        <v>1298</v>
      </c>
      <c r="I62" s="9">
        <f t="shared" si="22"/>
        <v>65.400000000000091</v>
      </c>
      <c r="J62" s="9">
        <f t="shared" si="3"/>
        <v>105.30585753691383</v>
      </c>
      <c r="K62" s="9">
        <v>29.4</v>
      </c>
      <c r="L62" s="10">
        <v>71.599999999999994</v>
      </c>
      <c r="M62" s="9">
        <f t="shared" si="4"/>
        <v>42.199999999999996</v>
      </c>
      <c r="N62" s="9">
        <f t="shared" si="5"/>
        <v>243.53741496598639</v>
      </c>
      <c r="O62" s="12">
        <f t="shared" si="23"/>
        <v>824.5</v>
      </c>
      <c r="P62" s="12">
        <f t="shared" si="24"/>
        <v>1241.1999999999998</v>
      </c>
      <c r="Q62" s="10">
        <f t="shared" si="6"/>
        <v>416.69999999999982</v>
      </c>
      <c r="R62" s="11">
        <f t="shared" si="7"/>
        <v>150.53972104305637</v>
      </c>
      <c r="S62" s="10">
        <v>210.3</v>
      </c>
      <c r="T62" s="10"/>
      <c r="U62" s="10">
        <f t="shared" si="8"/>
        <v>-210.3</v>
      </c>
      <c r="V62" s="11">
        <f t="shared" si="9"/>
        <v>0</v>
      </c>
      <c r="W62" s="10">
        <f>768.5+231.5</f>
        <v>1000</v>
      </c>
      <c r="X62" s="10">
        <f>923.1+234.2</f>
        <v>1157.3</v>
      </c>
      <c r="Y62" s="10">
        <f t="shared" si="10"/>
        <v>157.29999999999995</v>
      </c>
      <c r="Z62" s="12">
        <f t="shared" si="11"/>
        <v>115.73</v>
      </c>
      <c r="AA62" s="12">
        <f t="shared" si="25"/>
        <v>34.799999999999955</v>
      </c>
      <c r="AB62" s="12">
        <f t="shared" si="26"/>
        <v>83.899999999999864</v>
      </c>
      <c r="AC62" s="10">
        <f t="shared" si="12"/>
        <v>49.099999999999909</v>
      </c>
      <c r="AD62" s="11">
        <f t="shared" si="13"/>
        <v>241.09195402298843</v>
      </c>
      <c r="AE62" s="109">
        <f t="shared" si="14"/>
        <v>2.8197857592942657</v>
      </c>
    </row>
    <row r="63" spans="1:31" ht="25.5">
      <c r="A63" s="19" t="s">
        <v>117</v>
      </c>
      <c r="B63" s="2" t="s">
        <v>118</v>
      </c>
      <c r="C63" s="8">
        <v>1923.1</v>
      </c>
      <c r="D63" s="10">
        <v>2262.3000000000002</v>
      </c>
      <c r="E63" s="8">
        <f t="shared" si="0"/>
        <v>339.20000000000027</v>
      </c>
      <c r="F63" s="9">
        <f t="shared" si="1"/>
        <v>117.63818834173992</v>
      </c>
      <c r="G63" s="10">
        <v>1310.3</v>
      </c>
      <c r="H63" s="10">
        <v>1513.2</v>
      </c>
      <c r="I63" s="9">
        <f t="shared" si="22"/>
        <v>202.90000000000009</v>
      </c>
      <c r="J63" s="31">
        <f t="shared" si="3"/>
        <v>115.48500343432802</v>
      </c>
      <c r="K63" s="9">
        <v>3.4</v>
      </c>
      <c r="L63" s="10">
        <v>160.80000000000001</v>
      </c>
      <c r="M63" s="9">
        <f t="shared" si="4"/>
        <v>157.4</v>
      </c>
      <c r="N63" s="9">
        <f t="shared" si="5"/>
        <v>4729.4117647058829</v>
      </c>
      <c r="O63" s="12">
        <f t="shared" si="23"/>
        <v>612.79999999999995</v>
      </c>
      <c r="P63" s="12">
        <f t="shared" si="24"/>
        <v>749.10000000000014</v>
      </c>
      <c r="Q63" s="10">
        <f t="shared" si="6"/>
        <v>136.30000000000018</v>
      </c>
      <c r="R63" s="11">
        <f t="shared" si="7"/>
        <v>122.24216710182772</v>
      </c>
      <c r="S63" s="10"/>
      <c r="T63" s="10"/>
      <c r="U63" s="10">
        <f t="shared" si="8"/>
        <v>0</v>
      </c>
      <c r="V63" s="11">
        <v>0</v>
      </c>
      <c r="W63" s="10">
        <v>608.70000000000005</v>
      </c>
      <c r="X63" s="10">
        <v>564.1</v>
      </c>
      <c r="Y63" s="10">
        <f t="shared" si="10"/>
        <v>-44.600000000000023</v>
      </c>
      <c r="Z63" s="12">
        <f t="shared" si="11"/>
        <v>92.672909479218006</v>
      </c>
      <c r="AA63" s="12">
        <f t="shared" si="25"/>
        <v>4.0999999999999091</v>
      </c>
      <c r="AB63" s="12">
        <f t="shared" si="26"/>
        <v>185.00000000000011</v>
      </c>
      <c r="AC63" s="10">
        <f t="shared" si="12"/>
        <v>180.9000000000002</v>
      </c>
      <c r="AD63" s="11">
        <f t="shared" si="13"/>
        <v>4512.1951219513221</v>
      </c>
      <c r="AE63" s="109">
        <f t="shared" si="14"/>
        <v>7.1078106351942711</v>
      </c>
    </row>
    <row r="64" spans="1:31" ht="17.100000000000001" customHeight="1">
      <c r="A64" s="29" t="s">
        <v>119</v>
      </c>
      <c r="B64" s="2" t="s">
        <v>120</v>
      </c>
      <c r="C64" s="8">
        <v>7199.5</v>
      </c>
      <c r="D64" s="10">
        <v>4634.5</v>
      </c>
      <c r="E64" s="8">
        <f t="shared" si="0"/>
        <v>-2565</v>
      </c>
      <c r="F64" s="9">
        <f t="shared" si="1"/>
        <v>64.372525869852069</v>
      </c>
      <c r="G64" s="10">
        <v>6519.9</v>
      </c>
      <c r="H64" s="10">
        <v>3603</v>
      </c>
      <c r="I64" s="9">
        <f t="shared" si="22"/>
        <v>-2916.8999999999996</v>
      </c>
      <c r="J64" s="31">
        <f t="shared" si="3"/>
        <v>55.261583766622188</v>
      </c>
      <c r="K64" s="9">
        <v>8</v>
      </c>
      <c r="L64" s="10">
        <v>16.8</v>
      </c>
      <c r="M64" s="9">
        <f t="shared" si="4"/>
        <v>8.8000000000000007</v>
      </c>
      <c r="N64" s="9">
        <f t="shared" si="5"/>
        <v>210</v>
      </c>
      <c r="O64" s="12">
        <f t="shared" si="23"/>
        <v>679.60000000000036</v>
      </c>
      <c r="P64" s="12">
        <f t="shared" si="24"/>
        <v>1031.5</v>
      </c>
      <c r="Q64" s="10">
        <f t="shared" si="6"/>
        <v>351.89999999999964</v>
      </c>
      <c r="R64" s="11">
        <f t="shared" si="7"/>
        <v>151.78045909358437</v>
      </c>
      <c r="S64" s="10">
        <v>23.4</v>
      </c>
      <c r="T64" s="10">
        <v>1.5</v>
      </c>
      <c r="U64" s="10">
        <f t="shared" si="8"/>
        <v>-21.9</v>
      </c>
      <c r="V64" s="11">
        <f t="shared" si="9"/>
        <v>6.4102564102564115</v>
      </c>
      <c r="W64" s="10">
        <f>682+12.9</f>
        <v>694.9</v>
      </c>
      <c r="X64" s="10">
        <f>997.6+14.8</f>
        <v>1012.4</v>
      </c>
      <c r="Y64" s="10">
        <f t="shared" si="10"/>
        <v>317.5</v>
      </c>
      <c r="Z64" s="12">
        <f t="shared" si="11"/>
        <v>145.69002734206359</v>
      </c>
      <c r="AA64" s="12">
        <f t="shared" si="25"/>
        <v>8.1000000000003638</v>
      </c>
      <c r="AB64" s="12">
        <f t="shared" si="26"/>
        <v>20.600000000000023</v>
      </c>
      <c r="AC64" s="10">
        <f t="shared" si="12"/>
        <v>12.499999999999659</v>
      </c>
      <c r="AD64" s="11">
        <f t="shared" si="13"/>
        <v>254.32098765430987</v>
      </c>
      <c r="AE64" s="109">
        <f t="shared" si="14"/>
        <v>0.36249865141870752</v>
      </c>
    </row>
    <row r="65" spans="1:31" ht="17.100000000000001" customHeight="1">
      <c r="A65" s="19" t="s">
        <v>121</v>
      </c>
      <c r="B65" s="2" t="s">
        <v>122</v>
      </c>
      <c r="C65" s="9">
        <v>4906.2</v>
      </c>
      <c r="D65" s="10">
        <v>5107.3999999999996</v>
      </c>
      <c r="E65" s="8">
        <f t="shared" si="0"/>
        <v>201.19999999999982</v>
      </c>
      <c r="F65" s="9">
        <f t="shared" si="1"/>
        <v>104.10093351269822</v>
      </c>
      <c r="G65" s="10">
        <v>4302.2</v>
      </c>
      <c r="H65" s="10">
        <v>4366.6000000000004</v>
      </c>
      <c r="I65" s="9">
        <f t="shared" si="22"/>
        <v>64.400000000000546</v>
      </c>
      <c r="J65" s="31">
        <f t="shared" si="3"/>
        <v>101.49690855841197</v>
      </c>
      <c r="K65" s="9">
        <v>-35.9</v>
      </c>
      <c r="L65" s="10">
        <v>-54.6</v>
      </c>
      <c r="M65" s="9">
        <f t="shared" si="4"/>
        <v>-18.700000000000003</v>
      </c>
      <c r="N65" s="9">
        <f t="shared" si="5"/>
        <v>152.08913649025072</v>
      </c>
      <c r="O65" s="12">
        <f t="shared" si="23"/>
        <v>604</v>
      </c>
      <c r="P65" s="12">
        <f>D65-H65</f>
        <v>740.79999999999927</v>
      </c>
      <c r="Q65" s="10">
        <f t="shared" si="6"/>
        <v>136.79999999999927</v>
      </c>
      <c r="R65" s="11">
        <f t="shared" si="7"/>
        <v>122.64900662251644</v>
      </c>
      <c r="S65" s="10"/>
      <c r="T65" s="10"/>
      <c r="U65" s="10">
        <f t="shared" si="8"/>
        <v>0</v>
      </c>
      <c r="V65" s="11">
        <v>0</v>
      </c>
      <c r="W65" s="10">
        <f>78.7+510+45.8</f>
        <v>634.5</v>
      </c>
      <c r="X65" s="10">
        <f>72.4+643+76.5</f>
        <v>791.9</v>
      </c>
      <c r="Y65" s="10">
        <f t="shared" si="10"/>
        <v>157.39999999999998</v>
      </c>
      <c r="Z65" s="12">
        <f t="shared" si="11"/>
        <v>124.80693459416862</v>
      </c>
      <c r="AA65" s="12">
        <f t="shared" si="25"/>
        <v>-30.5</v>
      </c>
      <c r="AB65" s="12">
        <f t="shared" si="26"/>
        <v>-51.100000000000705</v>
      </c>
      <c r="AC65" s="10">
        <f t="shared" si="12"/>
        <v>-20.600000000000705</v>
      </c>
      <c r="AD65" s="11">
        <f t="shared" si="13"/>
        <v>167.54098360655968</v>
      </c>
      <c r="AE65" s="109">
        <f t="shared" si="14"/>
        <v>-1.0690370834475467</v>
      </c>
    </row>
    <row r="66" spans="1:31" ht="17.100000000000001" customHeight="1">
      <c r="A66" s="29" t="s">
        <v>123</v>
      </c>
      <c r="B66" s="2" t="s">
        <v>124</v>
      </c>
      <c r="C66" s="8">
        <v>2584.8000000000002</v>
      </c>
      <c r="D66" s="10">
        <v>2522.6999999999998</v>
      </c>
      <c r="E66" s="8">
        <f t="shared" si="0"/>
        <v>-62.100000000000364</v>
      </c>
      <c r="F66" s="9">
        <f t="shared" si="1"/>
        <v>97.597493036211674</v>
      </c>
      <c r="G66" s="10">
        <v>1820.9</v>
      </c>
      <c r="H66" s="10">
        <v>1765.9</v>
      </c>
      <c r="I66" s="9">
        <f t="shared" si="22"/>
        <v>-55</v>
      </c>
      <c r="J66" s="31">
        <f t="shared" si="3"/>
        <v>96.979515624141911</v>
      </c>
      <c r="K66" s="8">
        <v>2</v>
      </c>
      <c r="L66" s="10">
        <v>6.5</v>
      </c>
      <c r="M66" s="9">
        <f t="shared" si="4"/>
        <v>4.5</v>
      </c>
      <c r="N66" s="9">
        <f t="shared" si="5"/>
        <v>325</v>
      </c>
      <c r="O66" s="12">
        <f t="shared" si="23"/>
        <v>763.90000000000009</v>
      </c>
      <c r="P66" s="12">
        <f t="shared" si="24"/>
        <v>756.79999999999973</v>
      </c>
      <c r="Q66" s="10">
        <f t="shared" si="6"/>
        <v>-7.1000000000003638</v>
      </c>
      <c r="R66" s="11">
        <f t="shared" si="7"/>
        <v>99.070558973687611</v>
      </c>
      <c r="S66" s="10">
        <v>1.9</v>
      </c>
      <c r="T66" s="10">
        <v>0.5</v>
      </c>
      <c r="U66" s="10">
        <f t="shared" si="8"/>
        <v>-1.4</v>
      </c>
      <c r="V66" s="11">
        <f t="shared" si="9"/>
        <v>26.315789473684209</v>
      </c>
      <c r="W66" s="10">
        <f>776.5+1.2</f>
        <v>777.7</v>
      </c>
      <c r="X66" s="10">
        <f>745.6+0.2</f>
        <v>745.80000000000007</v>
      </c>
      <c r="Y66" s="10">
        <f t="shared" si="10"/>
        <v>-31.899999999999977</v>
      </c>
      <c r="Z66" s="12">
        <f t="shared" si="11"/>
        <v>95.898161244695899</v>
      </c>
      <c r="AA66" s="12">
        <f t="shared" si="25"/>
        <v>-11.899999999999977</v>
      </c>
      <c r="AB66" s="12">
        <f t="shared" si="26"/>
        <v>11.499999999999659</v>
      </c>
      <c r="AC66" s="10">
        <f t="shared" si="12"/>
        <v>23.399999999999636</v>
      </c>
      <c r="AD66" s="11">
        <f t="shared" si="13"/>
        <v>-96.638655462182186</v>
      </c>
      <c r="AE66" s="109">
        <f t="shared" si="14"/>
        <v>0.25766044317596226</v>
      </c>
    </row>
    <row r="67" spans="1:31" ht="17.100000000000001" customHeight="1">
      <c r="A67" s="19" t="s">
        <v>125</v>
      </c>
      <c r="B67" s="2" t="s">
        <v>126</v>
      </c>
      <c r="C67" s="8">
        <v>3406.8</v>
      </c>
      <c r="D67" s="10">
        <v>2936.6</v>
      </c>
      <c r="E67" s="8">
        <f t="shared" si="0"/>
        <v>-470.20000000000027</v>
      </c>
      <c r="F67" s="9">
        <f t="shared" si="1"/>
        <v>86.198191851590934</v>
      </c>
      <c r="G67" s="10">
        <v>2955.4</v>
      </c>
      <c r="H67" s="10">
        <v>2695.3</v>
      </c>
      <c r="I67" s="9">
        <f t="shared" si="22"/>
        <v>-260.09999999999991</v>
      </c>
      <c r="J67" s="31">
        <f t="shared" si="3"/>
        <v>91.199160858090281</v>
      </c>
      <c r="K67" s="8">
        <v>-216.8</v>
      </c>
      <c r="L67" s="10">
        <v>-110.5</v>
      </c>
      <c r="M67" s="9">
        <f t="shared" si="4"/>
        <v>106.30000000000001</v>
      </c>
      <c r="N67" s="9">
        <f t="shared" si="5"/>
        <v>50.96863468634686</v>
      </c>
      <c r="O67" s="12">
        <f t="shared" si="23"/>
        <v>451.40000000000009</v>
      </c>
      <c r="P67" s="12">
        <f t="shared" si="24"/>
        <v>241.29999999999973</v>
      </c>
      <c r="Q67" s="10">
        <f t="shared" si="6"/>
        <v>-210.10000000000036</v>
      </c>
      <c r="R67" s="11">
        <f t="shared" si="7"/>
        <v>53.455914931324699</v>
      </c>
      <c r="S67" s="10">
        <v>16.600000000000001</v>
      </c>
      <c r="T67" s="10"/>
      <c r="U67" s="10">
        <f t="shared" si="8"/>
        <v>-16.600000000000001</v>
      </c>
      <c r="V67" s="11">
        <f t="shared" si="9"/>
        <v>0</v>
      </c>
      <c r="W67" s="10">
        <f>676.7+7.8</f>
        <v>684.5</v>
      </c>
      <c r="X67" s="10">
        <f>346.3+31</f>
        <v>377.3</v>
      </c>
      <c r="Y67" s="10">
        <f t="shared" si="10"/>
        <v>-307.2</v>
      </c>
      <c r="Z67" s="12">
        <f t="shared" si="11"/>
        <v>55.120525931336736</v>
      </c>
      <c r="AA67" s="12">
        <f t="shared" si="25"/>
        <v>-216.49999999999989</v>
      </c>
      <c r="AB67" s="12">
        <f t="shared" si="26"/>
        <v>-136.00000000000028</v>
      </c>
      <c r="AC67" s="10">
        <f t="shared" si="12"/>
        <v>80.499999999999602</v>
      </c>
      <c r="AD67" s="11">
        <f t="shared" si="13"/>
        <v>62.817551963048665</v>
      </c>
      <c r="AE67" s="109">
        <f t="shared" si="14"/>
        <v>-3.7628550023837093</v>
      </c>
    </row>
    <row r="68" spans="1:31" ht="17.100000000000001" customHeight="1" thickBot="1">
      <c r="A68" s="29" t="s">
        <v>127</v>
      </c>
      <c r="B68" s="3" t="s">
        <v>128</v>
      </c>
      <c r="C68" s="14">
        <f>1311.8+2527.6-291.7</f>
        <v>3547.7</v>
      </c>
      <c r="D68" s="16">
        <v>4140.6000000000004</v>
      </c>
      <c r="E68" s="14">
        <f t="shared" si="0"/>
        <v>592.90000000000055</v>
      </c>
      <c r="F68" s="15">
        <f t="shared" si="1"/>
        <v>116.712236096626</v>
      </c>
      <c r="G68" s="16">
        <f>1118.7+2235.9</f>
        <v>3354.6000000000004</v>
      </c>
      <c r="H68" s="16">
        <v>3661.8</v>
      </c>
      <c r="I68" s="15">
        <f t="shared" si="22"/>
        <v>307.19999999999982</v>
      </c>
      <c r="J68" s="34">
        <f t="shared" si="3"/>
        <v>109.15757467358253</v>
      </c>
      <c r="K68" s="14">
        <v>-33.9</v>
      </c>
      <c r="L68" s="16">
        <v>-17.2</v>
      </c>
      <c r="M68" s="15">
        <f t="shared" si="4"/>
        <v>16.7</v>
      </c>
      <c r="N68" s="15">
        <f t="shared" si="5"/>
        <v>50.737463126843664</v>
      </c>
      <c r="O68" s="18">
        <f t="shared" si="23"/>
        <v>193.09999999999945</v>
      </c>
      <c r="P68" s="18">
        <f t="shared" si="24"/>
        <v>478.80000000000018</v>
      </c>
      <c r="Q68" s="16">
        <f t="shared" si="6"/>
        <v>285.70000000000073</v>
      </c>
      <c r="R68" s="17">
        <f t="shared" si="7"/>
        <v>247.95442775763931</v>
      </c>
      <c r="S68" s="16">
        <v>68.5</v>
      </c>
      <c r="T68" s="16">
        <v>0.3</v>
      </c>
      <c r="U68" s="16">
        <f t="shared" si="8"/>
        <v>-68.2</v>
      </c>
      <c r="V68" s="17">
        <f t="shared" si="9"/>
        <v>0.43795620437956201</v>
      </c>
      <c r="W68" s="16">
        <f>527.9+45.9</f>
        <v>573.79999999999995</v>
      </c>
      <c r="X68" s="16">
        <f>449.2+53.5</f>
        <v>502.7</v>
      </c>
      <c r="Y68" s="16">
        <f t="shared" si="10"/>
        <v>-71.099999999999966</v>
      </c>
      <c r="Z68" s="18">
        <f t="shared" si="11"/>
        <v>87.608922969675845</v>
      </c>
      <c r="AA68" s="18">
        <f t="shared" si="25"/>
        <v>-312.2000000000005</v>
      </c>
      <c r="AB68" s="18">
        <f t="shared" si="26"/>
        <v>-23.599999999999795</v>
      </c>
      <c r="AC68" s="16">
        <f t="shared" si="12"/>
        <v>288.6000000000007</v>
      </c>
      <c r="AD68" s="17">
        <f t="shared" si="13"/>
        <v>7.5592568866110694</v>
      </c>
      <c r="AE68" s="110">
        <f t="shared" si="14"/>
        <v>-0.41539873448292514</v>
      </c>
    </row>
    <row r="69" spans="1:31" s="86" customFormat="1" ht="24.95" customHeight="1" thickBot="1">
      <c r="A69" s="267" t="s">
        <v>129</v>
      </c>
      <c r="B69" s="268"/>
      <c r="C69" s="88">
        <f t="shared" ref="C69:D69" si="29">SUM(C41:C68)</f>
        <v>88426.999999999985</v>
      </c>
      <c r="D69" s="88">
        <f t="shared" si="29"/>
        <v>88292.700000000012</v>
      </c>
      <c r="E69" s="56">
        <f t="shared" si="0"/>
        <v>-134.29999999997381</v>
      </c>
      <c r="F69" s="57">
        <f t="shared" si="1"/>
        <v>99.848123310753536</v>
      </c>
      <c r="G69" s="88">
        <f t="shared" ref="G69:H69" si="30">SUM(G41:G68)</f>
        <v>70086.200000000012</v>
      </c>
      <c r="H69" s="88">
        <f t="shared" si="30"/>
        <v>70252.5</v>
      </c>
      <c r="I69" s="57">
        <f t="shared" si="22"/>
        <v>166.29999999998836</v>
      </c>
      <c r="J69" s="90">
        <f t="shared" si="3"/>
        <v>100.23727923614064</v>
      </c>
      <c r="K69" s="88">
        <f t="shared" ref="K69" si="31">SUM(K41:K68)</f>
        <v>-1579.5000000000005</v>
      </c>
      <c r="L69" s="88">
        <f t="shared" ref="L69" si="32">SUM(L41:L68)</f>
        <v>-1577.8999999999999</v>
      </c>
      <c r="M69" s="57">
        <f t="shared" si="4"/>
        <v>1.6000000000005912</v>
      </c>
      <c r="N69" s="57">
        <f t="shared" si="5"/>
        <v>99.898702120924312</v>
      </c>
      <c r="O69" s="63">
        <f t="shared" si="23"/>
        <v>18340.799999999974</v>
      </c>
      <c r="P69" s="96">
        <f t="shared" ref="P69" si="33">SUM(P41:P68)</f>
        <v>18040.199999999993</v>
      </c>
      <c r="Q69" s="98">
        <f t="shared" si="6"/>
        <v>-300.59999999998035</v>
      </c>
      <c r="R69" s="97">
        <f t="shared" si="7"/>
        <v>98.361031143679767</v>
      </c>
      <c r="S69" s="88">
        <f t="shared" ref="S69:T69" si="34">SUM(S41:S68)</f>
        <v>1243.9000000000001</v>
      </c>
      <c r="T69" s="88">
        <f t="shared" si="34"/>
        <v>2166.4</v>
      </c>
      <c r="U69" s="62">
        <f t="shared" si="8"/>
        <v>922.5</v>
      </c>
      <c r="V69" s="60">
        <f t="shared" si="9"/>
        <v>174.1619101213924</v>
      </c>
      <c r="W69" s="88">
        <f t="shared" ref="W69:X69" si="35">SUM(W41:W68)</f>
        <v>21587.200000000004</v>
      </c>
      <c r="X69" s="88">
        <f t="shared" si="35"/>
        <v>22089.5</v>
      </c>
      <c r="Y69" s="59">
        <f t="shared" si="10"/>
        <v>502.29999999999563</v>
      </c>
      <c r="Z69" s="63">
        <f t="shared" si="11"/>
        <v>102.32684183219685</v>
      </c>
      <c r="AA69" s="63">
        <f t="shared" si="25"/>
        <v>-2002.5000000000291</v>
      </c>
      <c r="AB69" s="63">
        <f t="shared" si="26"/>
        <v>-1882.9000000000051</v>
      </c>
      <c r="AC69" s="59">
        <f t="shared" si="12"/>
        <v>119.60000000002401</v>
      </c>
      <c r="AD69" s="60">
        <f t="shared" si="13"/>
        <v>94.027465667913987</v>
      </c>
      <c r="AE69" s="113">
        <f t="shared" si="14"/>
        <v>-1.7871239638158078</v>
      </c>
    </row>
    <row r="70" spans="1:31" s="86" customFormat="1" ht="24.95" customHeight="1" thickBot="1">
      <c r="A70" s="267" t="s">
        <v>130</v>
      </c>
      <c r="B70" s="268"/>
      <c r="C70" s="88">
        <f>C69+C40</f>
        <v>1010126.7000000002</v>
      </c>
      <c r="D70" s="88">
        <f>D69+D40</f>
        <v>983129.20000000019</v>
      </c>
      <c r="E70" s="56">
        <f t="shared" si="0"/>
        <v>-26997.5</v>
      </c>
      <c r="F70" s="57">
        <f t="shared" si="1"/>
        <v>97.327315474385543</v>
      </c>
      <c r="G70" s="88">
        <f>G69+G40</f>
        <v>970790.5</v>
      </c>
      <c r="H70" s="88">
        <f>H69+H40</f>
        <v>952236.8</v>
      </c>
      <c r="I70" s="57">
        <f t="shared" si="22"/>
        <v>-18553.699999999953</v>
      </c>
      <c r="J70" s="90">
        <f t="shared" si="3"/>
        <v>98.088804948132477</v>
      </c>
      <c r="K70" s="88">
        <f>K69+K40</f>
        <v>-3325.3999999999983</v>
      </c>
      <c r="L70" s="88">
        <f>L69+L40</f>
        <v>-34379.700000000004</v>
      </c>
      <c r="M70" s="57">
        <f t="shared" si="4"/>
        <v>-31054.300000000007</v>
      </c>
      <c r="N70" s="57">
        <f t="shared" si="5"/>
        <v>1033.8515667288152</v>
      </c>
      <c r="O70" s="63">
        <f t="shared" si="23"/>
        <v>39336.200000000186</v>
      </c>
      <c r="P70" s="60">
        <f t="shared" si="24"/>
        <v>30892.40000000014</v>
      </c>
      <c r="Q70" s="98">
        <f t="shared" si="6"/>
        <v>-8443.8000000000466</v>
      </c>
      <c r="R70" s="97">
        <f t="shared" si="7"/>
        <v>78.53427631545496</v>
      </c>
      <c r="S70" s="88">
        <f>S69+S40</f>
        <v>26043.599999999999</v>
      </c>
      <c r="T70" s="88">
        <f>T69+T40</f>
        <v>23099.7</v>
      </c>
      <c r="U70" s="59">
        <f t="shared" si="8"/>
        <v>-2943.8999999999978</v>
      </c>
      <c r="V70" s="60">
        <f t="shared" si="9"/>
        <v>88.696263189420819</v>
      </c>
      <c r="W70" s="88">
        <f>W69+W40</f>
        <v>165916.09999999998</v>
      </c>
      <c r="X70" s="88">
        <f>X69+X40</f>
        <v>184578.5</v>
      </c>
      <c r="Y70" s="59">
        <f t="shared" si="10"/>
        <v>18662.400000000023</v>
      </c>
      <c r="Z70" s="63">
        <f t="shared" si="11"/>
        <v>111.24809466953481</v>
      </c>
      <c r="AA70" s="63">
        <f t="shared" si="25"/>
        <v>-100536.29999999978</v>
      </c>
      <c r="AB70" s="63">
        <f t="shared" si="26"/>
        <v>-130586.39999999986</v>
      </c>
      <c r="AC70" s="59">
        <f t="shared" si="12"/>
        <v>-30050.100000000079</v>
      </c>
      <c r="AD70" s="60">
        <f t="shared" si="13"/>
        <v>129.88980099725188</v>
      </c>
      <c r="AE70" s="112">
        <f t="shared" si="14"/>
        <v>-3.4969666245291053</v>
      </c>
    </row>
    <row r="71" spans="1:31" ht="17.100000000000001" customHeight="1">
      <c r="A71" s="19" t="s">
        <v>131</v>
      </c>
      <c r="B71" s="4" t="s">
        <v>132</v>
      </c>
      <c r="C71" s="20">
        <v>75113</v>
      </c>
      <c r="D71" s="22">
        <v>81920.2</v>
      </c>
      <c r="E71" s="20">
        <f t="shared" si="0"/>
        <v>6807.1999999999971</v>
      </c>
      <c r="F71" s="21">
        <f t="shared" si="1"/>
        <v>109.06261233075499</v>
      </c>
      <c r="G71" s="22">
        <v>70835.600000000006</v>
      </c>
      <c r="H71" s="22">
        <v>73926.2</v>
      </c>
      <c r="I71" s="21">
        <f t="shared" si="22"/>
        <v>3090.5999999999913</v>
      </c>
      <c r="J71" s="91">
        <f t="shared" si="3"/>
        <v>104.36306038206776</v>
      </c>
      <c r="K71" s="20">
        <v>-3644.2</v>
      </c>
      <c r="L71" s="22">
        <v>-291.2</v>
      </c>
      <c r="M71" s="21">
        <f t="shared" si="4"/>
        <v>3353</v>
      </c>
      <c r="N71" s="21">
        <f t="shared" si="5"/>
        <v>7.9907798693814831</v>
      </c>
      <c r="O71" s="24">
        <f t="shared" si="23"/>
        <v>4277.3999999999942</v>
      </c>
      <c r="P71" s="24">
        <f t="shared" si="24"/>
        <v>7994</v>
      </c>
      <c r="Q71" s="22">
        <f t="shared" si="6"/>
        <v>3716.6000000000058</v>
      </c>
      <c r="R71" s="23">
        <f t="shared" si="7"/>
        <v>186.88923177631295</v>
      </c>
      <c r="S71" s="22">
        <v>37.6</v>
      </c>
      <c r="T71" s="22">
        <v>20.100000000000001</v>
      </c>
      <c r="U71" s="22">
        <f t="shared" si="8"/>
        <v>-17.5</v>
      </c>
      <c r="V71" s="23">
        <f t="shared" si="9"/>
        <v>53.457446808510646</v>
      </c>
      <c r="W71" s="22">
        <f>7940.8+268.7</f>
        <v>8209.5</v>
      </c>
      <c r="X71" s="22">
        <f>8097.8+282.7</f>
        <v>8380.5</v>
      </c>
      <c r="Y71" s="22">
        <f t="shared" si="10"/>
        <v>171</v>
      </c>
      <c r="Z71" s="24">
        <f t="shared" si="11"/>
        <v>102.0829526767769</v>
      </c>
      <c r="AA71" s="24">
        <f t="shared" si="25"/>
        <v>-3894.5000000000055</v>
      </c>
      <c r="AB71" s="24">
        <f t="shared" si="26"/>
        <v>-366.39999999999964</v>
      </c>
      <c r="AC71" s="22">
        <f t="shared" si="12"/>
        <v>3528.1000000000058</v>
      </c>
      <c r="AD71" s="23">
        <f t="shared" si="13"/>
        <v>9.4081396841699618</v>
      </c>
      <c r="AE71" s="111">
        <f t="shared" si="14"/>
        <v>-0.35546788215849084</v>
      </c>
    </row>
    <row r="72" spans="1:31" ht="25.5">
      <c r="A72" s="7" t="s">
        <v>133</v>
      </c>
      <c r="B72" s="2" t="s">
        <v>134</v>
      </c>
      <c r="C72" s="8">
        <v>45689.3</v>
      </c>
      <c r="D72" s="10">
        <v>49109.4</v>
      </c>
      <c r="E72" s="8">
        <f t="shared" si="0"/>
        <v>3420.0999999999985</v>
      </c>
      <c r="F72" s="9">
        <f t="shared" si="1"/>
        <v>107.48556007642927</v>
      </c>
      <c r="G72" s="10">
        <v>38820.5</v>
      </c>
      <c r="H72" s="10">
        <v>39155.800000000003</v>
      </c>
      <c r="I72" s="9">
        <f t="shared" si="22"/>
        <v>335.30000000000291</v>
      </c>
      <c r="J72" s="31">
        <f t="shared" si="3"/>
        <v>100.86371891139991</v>
      </c>
      <c r="K72" s="8">
        <v>-3359.3</v>
      </c>
      <c r="L72" s="10">
        <v>881.2</v>
      </c>
      <c r="M72" s="9">
        <f t="shared" si="4"/>
        <v>4240.5</v>
      </c>
      <c r="N72" s="9">
        <f t="shared" si="5"/>
        <v>-26.231655404399728</v>
      </c>
      <c r="O72" s="12">
        <f t="shared" si="23"/>
        <v>6868.8000000000029</v>
      </c>
      <c r="P72" s="12">
        <f t="shared" si="24"/>
        <v>9953.5999999999985</v>
      </c>
      <c r="Q72" s="10">
        <f t="shared" si="6"/>
        <v>3084.7999999999956</v>
      </c>
      <c r="R72" s="11">
        <f t="shared" si="7"/>
        <v>144.91031912415554</v>
      </c>
      <c r="S72" s="10">
        <v>1025.4000000000001</v>
      </c>
      <c r="T72" s="10">
        <v>1751.7</v>
      </c>
      <c r="U72" s="10">
        <f t="shared" si="8"/>
        <v>726.3</v>
      </c>
      <c r="V72" s="11">
        <f t="shared" si="9"/>
        <v>170.83089526038617</v>
      </c>
      <c r="W72" s="10">
        <f>10926.9+408.7</f>
        <v>11335.6</v>
      </c>
      <c r="X72" s="10">
        <f>10153+689.4</f>
        <v>10842.4</v>
      </c>
      <c r="Y72" s="10">
        <f t="shared" si="10"/>
        <v>-493.20000000000073</v>
      </c>
      <c r="Z72" s="12">
        <f t="shared" si="11"/>
        <v>95.649105473023027</v>
      </c>
      <c r="AA72" s="12">
        <f t="shared" si="25"/>
        <v>-3441.3999999999978</v>
      </c>
      <c r="AB72" s="12">
        <f t="shared" si="26"/>
        <v>862.89999999999964</v>
      </c>
      <c r="AC72" s="10">
        <f t="shared" si="12"/>
        <v>4304.2999999999975</v>
      </c>
      <c r="AD72" s="11">
        <f t="shared" si="13"/>
        <v>-25.074097750915332</v>
      </c>
      <c r="AE72" s="109">
        <f t="shared" si="14"/>
        <v>1.794361160999727</v>
      </c>
    </row>
    <row r="73" spans="1:31" ht="25.5">
      <c r="A73" s="19" t="s">
        <v>135</v>
      </c>
      <c r="B73" s="2" t="s">
        <v>136</v>
      </c>
      <c r="C73" s="8">
        <v>86544.5</v>
      </c>
      <c r="D73" s="10">
        <v>92967.7</v>
      </c>
      <c r="E73" s="8">
        <f t="shared" si="0"/>
        <v>6423.1999999999971</v>
      </c>
      <c r="F73" s="9">
        <f t="shared" si="1"/>
        <v>107.42184656448417</v>
      </c>
      <c r="G73" s="10">
        <v>78627.199999999997</v>
      </c>
      <c r="H73" s="10">
        <v>84778.4</v>
      </c>
      <c r="I73" s="9">
        <f t="shared" si="22"/>
        <v>6151.1999999999971</v>
      </c>
      <c r="J73" s="31">
        <f t="shared" si="3"/>
        <v>107.82324691709739</v>
      </c>
      <c r="K73" s="8">
        <v>-1343.6</v>
      </c>
      <c r="L73" s="10">
        <v>-2423.8000000000002</v>
      </c>
      <c r="M73" s="9">
        <f t="shared" si="4"/>
        <v>-1080.2000000000003</v>
      </c>
      <c r="N73" s="9">
        <f t="shared" si="5"/>
        <v>180.39595117594524</v>
      </c>
      <c r="O73" s="12">
        <f t="shared" si="23"/>
        <v>7917.3000000000029</v>
      </c>
      <c r="P73" s="12">
        <f t="shared" si="24"/>
        <v>8189.3000000000029</v>
      </c>
      <c r="Q73" s="10">
        <f t="shared" si="6"/>
        <v>272</v>
      </c>
      <c r="R73" s="11">
        <f t="shared" si="7"/>
        <v>103.43551463251362</v>
      </c>
      <c r="S73" s="10">
        <v>371.8</v>
      </c>
      <c r="T73" s="10">
        <v>68.5</v>
      </c>
      <c r="U73" s="10">
        <f t="shared" si="8"/>
        <v>-303.3</v>
      </c>
      <c r="V73" s="11">
        <f t="shared" si="9"/>
        <v>18.423883808499191</v>
      </c>
      <c r="W73" s="10">
        <f>9743.6</f>
        <v>9743.6</v>
      </c>
      <c r="X73" s="10">
        <f>10714.7+28.6</f>
        <v>10743.300000000001</v>
      </c>
      <c r="Y73" s="10">
        <f t="shared" si="10"/>
        <v>999.70000000000073</v>
      </c>
      <c r="Z73" s="12">
        <f t="shared" si="11"/>
        <v>110.26006814729669</v>
      </c>
      <c r="AA73" s="12">
        <f t="shared" si="25"/>
        <v>-1454.4999999999982</v>
      </c>
      <c r="AB73" s="12">
        <f t="shared" si="26"/>
        <v>-2485.4999999999982</v>
      </c>
      <c r="AC73" s="10">
        <f t="shared" si="12"/>
        <v>-1031</v>
      </c>
      <c r="AD73" s="11">
        <f t="shared" si="13"/>
        <v>170.88346510828472</v>
      </c>
      <c r="AE73" s="109">
        <f t="shared" si="14"/>
        <v>-2.6071420504110572</v>
      </c>
    </row>
    <row r="74" spans="1:31" ht="17.100000000000001" customHeight="1">
      <c r="A74" s="7" t="s">
        <v>137</v>
      </c>
      <c r="B74" s="2" t="s">
        <v>138</v>
      </c>
      <c r="C74" s="8">
        <v>8191.6</v>
      </c>
      <c r="D74" s="10">
        <v>8913.6</v>
      </c>
      <c r="E74" s="8">
        <f t="shared" ref="E74:E90" si="36">D74-C74</f>
        <v>722</v>
      </c>
      <c r="F74" s="9">
        <f t="shared" ref="F74:F90" si="37">D74/C74*100</f>
        <v>108.81390692904927</v>
      </c>
      <c r="G74" s="10">
        <v>7302.8</v>
      </c>
      <c r="H74" s="10">
        <v>8111.5</v>
      </c>
      <c r="I74" s="9">
        <f t="shared" si="22"/>
        <v>808.69999999999982</v>
      </c>
      <c r="J74" s="31">
        <f t="shared" ref="J74:J90" si="38">H74/G74*100</f>
        <v>111.0738346935422</v>
      </c>
      <c r="K74" s="8">
        <v>-737.6</v>
      </c>
      <c r="L74" s="10">
        <v>946.2</v>
      </c>
      <c r="M74" s="9">
        <f t="shared" ref="M74:M90" si="39">L74-K74</f>
        <v>1683.8000000000002</v>
      </c>
      <c r="N74" s="9">
        <f t="shared" ref="N74:N90" si="40">L74/K74*100</f>
        <v>-128.28091106290674</v>
      </c>
      <c r="O74" s="12">
        <f t="shared" si="23"/>
        <v>888.80000000000018</v>
      </c>
      <c r="P74" s="12">
        <f t="shared" si="24"/>
        <v>802.10000000000036</v>
      </c>
      <c r="Q74" s="10">
        <f t="shared" ref="Q74:Q90" si="41">P74-O74</f>
        <v>-86.699999999999818</v>
      </c>
      <c r="R74" s="11">
        <f t="shared" ref="R74:R90" si="42">P74/O74*100</f>
        <v>90.245274527452764</v>
      </c>
      <c r="S74" s="10">
        <v>278.8</v>
      </c>
      <c r="T74" s="10">
        <v>198</v>
      </c>
      <c r="U74" s="10">
        <f t="shared" ref="U74:U88" si="43">T74-S74</f>
        <v>-80.800000000000011</v>
      </c>
      <c r="V74" s="11">
        <f t="shared" ref="V74:V90" si="44">T74/S74*100</f>
        <v>71.018651362984215</v>
      </c>
      <c r="W74" s="10">
        <f>1853.6+51.6</f>
        <v>1905.1999999999998</v>
      </c>
      <c r="X74" s="10">
        <v>54</v>
      </c>
      <c r="Y74" s="10">
        <f t="shared" ref="Y74:Y90" si="45">X74-W74</f>
        <v>-1851.1999999999998</v>
      </c>
      <c r="Z74" s="12">
        <f t="shared" ref="Z74:Z90" si="46">X74/W74*100</f>
        <v>2.8343480999370145</v>
      </c>
      <c r="AA74" s="12">
        <f t="shared" si="25"/>
        <v>-737.59999999999968</v>
      </c>
      <c r="AB74" s="12">
        <f t="shared" si="26"/>
        <v>946.10000000000036</v>
      </c>
      <c r="AC74" s="10">
        <f t="shared" ref="AC74:AC90" si="47">AB74-AA74</f>
        <v>1683.7</v>
      </c>
      <c r="AD74" s="11">
        <f t="shared" ref="AD74:AD87" si="48">AB74/AA74*100</f>
        <v>-128.26735357917579</v>
      </c>
      <c r="AE74" s="109">
        <f t="shared" ref="AE74:AE90" si="49">L74*100/D74</f>
        <v>10.615239633817986</v>
      </c>
    </row>
    <row r="75" spans="1:31" ht="25.5">
      <c r="A75" s="19" t="s">
        <v>139</v>
      </c>
      <c r="B75" s="2" t="s">
        <v>140</v>
      </c>
      <c r="C75" s="8">
        <v>48635.199999999997</v>
      </c>
      <c r="D75" s="10">
        <v>48874.2</v>
      </c>
      <c r="E75" s="8">
        <f t="shared" si="36"/>
        <v>239</v>
      </c>
      <c r="F75" s="9">
        <f t="shared" si="37"/>
        <v>100.49141362634471</v>
      </c>
      <c r="G75" s="10">
        <v>48635.199999999997</v>
      </c>
      <c r="H75" s="10">
        <v>48874.2</v>
      </c>
      <c r="I75" s="9">
        <f t="shared" si="22"/>
        <v>239</v>
      </c>
      <c r="J75" s="31">
        <f t="shared" si="38"/>
        <v>100.49141362634471</v>
      </c>
      <c r="K75" s="9">
        <v>-2213.4</v>
      </c>
      <c r="L75" s="10">
        <v>-3806.4</v>
      </c>
      <c r="M75" s="9">
        <f t="shared" si="39"/>
        <v>-1593</v>
      </c>
      <c r="N75" s="9">
        <f t="shared" si="40"/>
        <v>171.97072377338031</v>
      </c>
      <c r="O75" s="12">
        <f t="shared" si="23"/>
        <v>0</v>
      </c>
      <c r="P75" s="12">
        <f t="shared" si="24"/>
        <v>0</v>
      </c>
      <c r="Q75" s="10">
        <f t="shared" si="41"/>
        <v>0</v>
      </c>
      <c r="R75" s="11">
        <v>0</v>
      </c>
      <c r="S75" s="10">
        <v>3109.4</v>
      </c>
      <c r="T75" s="10">
        <v>0.1</v>
      </c>
      <c r="U75" s="10">
        <f t="shared" si="43"/>
        <v>-3109.3</v>
      </c>
      <c r="V75" s="11">
        <f t="shared" si="44"/>
        <v>3.2160545442850713E-3</v>
      </c>
      <c r="W75" s="10">
        <v>5322.7</v>
      </c>
      <c r="X75" s="10">
        <f>3762.6+2.9</f>
        <v>3765.5</v>
      </c>
      <c r="Y75" s="10">
        <f t="shared" si="45"/>
        <v>-1557.1999999999998</v>
      </c>
      <c r="Z75" s="12">
        <f t="shared" si="46"/>
        <v>70.744171191312674</v>
      </c>
      <c r="AA75" s="12">
        <f t="shared" si="25"/>
        <v>-2213.2999999999997</v>
      </c>
      <c r="AB75" s="12">
        <f t="shared" si="26"/>
        <v>-3765.4</v>
      </c>
      <c r="AC75" s="10">
        <f t="shared" si="47"/>
        <v>-1552.1000000000004</v>
      </c>
      <c r="AD75" s="11">
        <f t="shared" si="48"/>
        <v>170.12605611530296</v>
      </c>
      <c r="AE75" s="109">
        <f t="shared" si="49"/>
        <v>-7.7881581693408801</v>
      </c>
    </row>
    <row r="76" spans="1:31" ht="25.5">
      <c r="A76" s="7" t="s">
        <v>141</v>
      </c>
      <c r="B76" s="2" t="s">
        <v>142</v>
      </c>
      <c r="C76" s="8">
        <v>11279.2</v>
      </c>
      <c r="D76" s="10">
        <v>13587.9</v>
      </c>
      <c r="E76" s="8">
        <f t="shared" si="36"/>
        <v>2308.6999999999989</v>
      </c>
      <c r="F76" s="9">
        <f t="shared" si="37"/>
        <v>120.4686502588836</v>
      </c>
      <c r="G76" s="10">
        <v>12090.7</v>
      </c>
      <c r="H76" s="10">
        <v>14409</v>
      </c>
      <c r="I76" s="9">
        <f t="shared" si="22"/>
        <v>2318.2999999999993</v>
      </c>
      <c r="J76" s="31">
        <f t="shared" si="38"/>
        <v>119.1742413590611</v>
      </c>
      <c r="K76" s="8">
        <v>-348.3</v>
      </c>
      <c r="L76" s="10">
        <v>-1791.6</v>
      </c>
      <c r="M76" s="9">
        <f t="shared" si="39"/>
        <v>-1443.3</v>
      </c>
      <c r="N76" s="9">
        <f t="shared" si="40"/>
        <v>514.38415159345391</v>
      </c>
      <c r="O76" s="12">
        <f t="shared" si="23"/>
        <v>-811.5</v>
      </c>
      <c r="P76" s="12">
        <f t="shared" si="24"/>
        <v>-821.10000000000036</v>
      </c>
      <c r="Q76" s="10">
        <f t="shared" si="41"/>
        <v>-9.6000000000003638</v>
      </c>
      <c r="R76" s="11">
        <f t="shared" si="42"/>
        <v>101.18299445471355</v>
      </c>
      <c r="S76" s="10">
        <v>2083.8000000000002</v>
      </c>
      <c r="T76" s="10">
        <v>90.9</v>
      </c>
      <c r="U76" s="10">
        <f t="shared" si="43"/>
        <v>-1992.9</v>
      </c>
      <c r="V76" s="11">
        <f t="shared" si="44"/>
        <v>4.3622228620788936</v>
      </c>
      <c r="W76" s="10">
        <f>1668.2+22.6</f>
        <v>1690.8</v>
      </c>
      <c r="X76" s="10">
        <f>1392.5+30.4</f>
        <v>1422.9</v>
      </c>
      <c r="Y76" s="10">
        <f t="shared" si="45"/>
        <v>-267.89999999999986</v>
      </c>
      <c r="Z76" s="12">
        <f t="shared" si="46"/>
        <v>84.155429382540817</v>
      </c>
      <c r="AA76" s="12">
        <f t="shared" si="25"/>
        <v>-418.49999999999977</v>
      </c>
      <c r="AB76" s="12">
        <f t="shared" si="26"/>
        <v>-2153.1000000000004</v>
      </c>
      <c r="AC76" s="10">
        <f t="shared" si="47"/>
        <v>-1734.6000000000006</v>
      </c>
      <c r="AD76" s="11">
        <f t="shared" si="48"/>
        <v>514.48028673835165</v>
      </c>
      <c r="AE76" s="109">
        <f t="shared" si="49"/>
        <v>-13.185260415516748</v>
      </c>
    </row>
    <row r="77" spans="1:31" ht="25.5">
      <c r="A77" s="19" t="s">
        <v>143</v>
      </c>
      <c r="B77" s="2" t="s">
        <v>144</v>
      </c>
      <c r="C77" s="8">
        <v>17503.599999999999</v>
      </c>
      <c r="D77" s="10">
        <v>22026.799999999999</v>
      </c>
      <c r="E77" s="8">
        <f t="shared" si="36"/>
        <v>4523.2000000000007</v>
      </c>
      <c r="F77" s="9">
        <f t="shared" si="37"/>
        <v>125.84154116867387</v>
      </c>
      <c r="G77" s="10">
        <v>18828.8</v>
      </c>
      <c r="H77" s="10">
        <v>19403.7</v>
      </c>
      <c r="I77" s="9">
        <f t="shared" si="22"/>
        <v>574.90000000000146</v>
      </c>
      <c r="J77" s="31">
        <f t="shared" si="38"/>
        <v>103.05330132562882</v>
      </c>
      <c r="K77" s="8">
        <v>-3762.2</v>
      </c>
      <c r="L77" s="10">
        <v>274.3</v>
      </c>
      <c r="M77" s="9">
        <f t="shared" si="39"/>
        <v>4036.5</v>
      </c>
      <c r="N77" s="9">
        <f t="shared" si="40"/>
        <v>-7.2909467864547342</v>
      </c>
      <c r="O77" s="12">
        <f t="shared" si="23"/>
        <v>-1325.2000000000007</v>
      </c>
      <c r="P77" s="12">
        <f t="shared" si="24"/>
        <v>2623.0999999999985</v>
      </c>
      <c r="Q77" s="10">
        <f t="shared" si="41"/>
        <v>3948.2999999999993</v>
      </c>
      <c r="R77" s="11">
        <f t="shared" si="42"/>
        <v>-197.93993359492885</v>
      </c>
      <c r="S77" s="10">
        <v>21</v>
      </c>
      <c r="T77" s="10">
        <v>80.8</v>
      </c>
      <c r="U77" s="10">
        <f t="shared" si="43"/>
        <v>59.8</v>
      </c>
      <c r="V77" s="11">
        <f t="shared" si="44"/>
        <v>384.7619047619047</v>
      </c>
      <c r="W77" s="10">
        <v>2618.3000000000002</v>
      </c>
      <c r="X77" s="10">
        <v>2689.1</v>
      </c>
      <c r="Y77" s="10">
        <f t="shared" si="45"/>
        <v>70.799999999999727</v>
      </c>
      <c r="Z77" s="12">
        <f t="shared" si="46"/>
        <v>102.70404460909749</v>
      </c>
      <c r="AA77" s="12">
        <f t="shared" si="25"/>
        <v>-3922.5000000000009</v>
      </c>
      <c r="AB77" s="12">
        <f t="shared" si="26"/>
        <v>14.799999999998818</v>
      </c>
      <c r="AC77" s="10">
        <f t="shared" si="47"/>
        <v>3937.2999999999997</v>
      </c>
      <c r="AD77" s="11">
        <f t="shared" si="48"/>
        <v>-0.3773103887826339</v>
      </c>
      <c r="AE77" s="109">
        <f t="shared" si="49"/>
        <v>1.2453011785642945</v>
      </c>
    </row>
    <row r="78" spans="1:31" ht="25.5">
      <c r="A78" s="7" t="s">
        <v>145</v>
      </c>
      <c r="B78" s="2" t="s">
        <v>146</v>
      </c>
      <c r="C78" s="8">
        <v>30058.2</v>
      </c>
      <c r="D78" s="10">
        <v>25156.6</v>
      </c>
      <c r="E78" s="8">
        <f t="shared" si="36"/>
        <v>-4901.6000000000022</v>
      </c>
      <c r="F78" s="9">
        <f t="shared" si="37"/>
        <v>83.692968973524685</v>
      </c>
      <c r="G78" s="10">
        <v>27717.200000000001</v>
      </c>
      <c r="H78" s="10">
        <v>23832.799999999999</v>
      </c>
      <c r="I78" s="9">
        <f t="shared" ref="I78:I90" si="50">H78-G78</f>
        <v>-3884.4000000000015</v>
      </c>
      <c r="J78" s="31">
        <f t="shared" si="38"/>
        <v>85.98559739078982</v>
      </c>
      <c r="K78" s="9">
        <v>686.1</v>
      </c>
      <c r="L78" s="10">
        <v>-196.1</v>
      </c>
      <c r="M78" s="9">
        <f t="shared" si="39"/>
        <v>-882.2</v>
      </c>
      <c r="N78" s="9">
        <f t="shared" si="40"/>
        <v>-28.58183938201428</v>
      </c>
      <c r="O78" s="12">
        <f t="shared" si="23"/>
        <v>2341</v>
      </c>
      <c r="P78" s="12">
        <f t="shared" si="24"/>
        <v>1323.7999999999993</v>
      </c>
      <c r="Q78" s="10">
        <f t="shared" si="41"/>
        <v>-1017.2000000000007</v>
      </c>
      <c r="R78" s="11">
        <f t="shared" si="42"/>
        <v>56.548483554036707</v>
      </c>
      <c r="S78" s="10">
        <v>0.1</v>
      </c>
      <c r="T78" s="10">
        <v>0.9</v>
      </c>
      <c r="U78" s="10">
        <f t="shared" si="43"/>
        <v>0.8</v>
      </c>
      <c r="V78" s="11">
        <f t="shared" si="44"/>
        <v>900</v>
      </c>
      <c r="W78" s="10">
        <f>1705.7+0.2</f>
        <v>1705.9</v>
      </c>
      <c r="X78" s="10">
        <f>1431.4+28.6</f>
        <v>1460</v>
      </c>
      <c r="Y78" s="10">
        <f t="shared" si="45"/>
        <v>-245.90000000000009</v>
      </c>
      <c r="Z78" s="12">
        <f t="shared" si="46"/>
        <v>85.585321531156566</v>
      </c>
      <c r="AA78" s="12">
        <f t="shared" si="25"/>
        <v>635.19999999999982</v>
      </c>
      <c r="AB78" s="12">
        <f t="shared" si="26"/>
        <v>-135.30000000000064</v>
      </c>
      <c r="AC78" s="10">
        <f t="shared" si="47"/>
        <v>-770.50000000000045</v>
      </c>
      <c r="AD78" s="11">
        <f t="shared" si="48"/>
        <v>-21.300377833753256</v>
      </c>
      <c r="AE78" s="109">
        <f t="shared" si="49"/>
        <v>-0.7795171048551871</v>
      </c>
    </row>
    <row r="79" spans="1:31" ht="17.100000000000001" customHeight="1">
      <c r="A79" s="19" t="s">
        <v>147</v>
      </c>
      <c r="B79" s="2" t="s">
        <v>148</v>
      </c>
      <c r="C79" s="8">
        <v>6167.1</v>
      </c>
      <c r="D79" s="10">
        <v>6354.4</v>
      </c>
      <c r="E79" s="8">
        <f t="shared" si="36"/>
        <v>187.29999999999927</v>
      </c>
      <c r="F79" s="9">
        <f t="shared" si="37"/>
        <v>103.03708388059216</v>
      </c>
      <c r="G79" s="10">
        <v>5932</v>
      </c>
      <c r="H79" s="10">
        <v>6233.5</v>
      </c>
      <c r="I79" s="9">
        <f t="shared" si="50"/>
        <v>301.5</v>
      </c>
      <c r="J79" s="31">
        <f t="shared" si="38"/>
        <v>105.08260283209709</v>
      </c>
      <c r="K79" s="9">
        <v>-546.6</v>
      </c>
      <c r="L79" s="10">
        <v>-404.6</v>
      </c>
      <c r="M79" s="9">
        <f t="shared" si="39"/>
        <v>142</v>
      </c>
      <c r="N79" s="9">
        <f t="shared" si="40"/>
        <v>74.021222100256139</v>
      </c>
      <c r="O79" s="12">
        <f t="shared" ref="O79:O88" si="51">C79-G79</f>
        <v>235.10000000000036</v>
      </c>
      <c r="P79" s="12">
        <f t="shared" ref="P79:P88" si="52">D79-H79</f>
        <v>120.89999999999964</v>
      </c>
      <c r="Q79" s="10">
        <f t="shared" si="41"/>
        <v>-114.20000000000073</v>
      </c>
      <c r="R79" s="11">
        <f t="shared" si="42"/>
        <v>51.424925563589731</v>
      </c>
      <c r="S79" s="10">
        <v>10.1</v>
      </c>
      <c r="T79" s="10">
        <v>237</v>
      </c>
      <c r="U79" s="10">
        <f t="shared" si="43"/>
        <v>226.9</v>
      </c>
      <c r="V79" s="11">
        <f t="shared" si="44"/>
        <v>2346.5346534653468</v>
      </c>
      <c r="W79" s="10">
        <f>1243.3+4.7</f>
        <v>1248</v>
      </c>
      <c r="X79" s="10">
        <f>1060.5+0.6</f>
        <v>1061.0999999999999</v>
      </c>
      <c r="Y79" s="10">
        <f t="shared" si="45"/>
        <v>-186.90000000000009</v>
      </c>
      <c r="Z79" s="12">
        <f t="shared" si="46"/>
        <v>85.024038461538453</v>
      </c>
      <c r="AA79" s="12">
        <f t="shared" si="25"/>
        <v>-1002.7999999999996</v>
      </c>
      <c r="AB79" s="12">
        <f t="shared" si="26"/>
        <v>-703.20000000000027</v>
      </c>
      <c r="AC79" s="10">
        <f t="shared" si="47"/>
        <v>299.59999999999934</v>
      </c>
      <c r="AD79" s="11">
        <f t="shared" si="48"/>
        <v>70.12365376944561</v>
      </c>
      <c r="AE79" s="109">
        <f t="shared" si="49"/>
        <v>-6.367241596374166</v>
      </c>
    </row>
    <row r="80" spans="1:31" ht="17.100000000000001" customHeight="1">
      <c r="A80" s="7" t="s">
        <v>149</v>
      </c>
      <c r="B80" s="2" t="s">
        <v>150</v>
      </c>
      <c r="C80" s="9">
        <v>7804</v>
      </c>
      <c r="D80" s="10">
        <v>4959.3</v>
      </c>
      <c r="E80" s="8">
        <f t="shared" si="36"/>
        <v>-2844.7</v>
      </c>
      <c r="F80" s="9">
        <f t="shared" si="37"/>
        <v>63.548180420297285</v>
      </c>
      <c r="G80" s="10">
        <v>6432.5</v>
      </c>
      <c r="H80" s="10">
        <v>4440.5</v>
      </c>
      <c r="I80" s="9">
        <f t="shared" si="50"/>
        <v>-1992</v>
      </c>
      <c r="J80" s="31">
        <f t="shared" si="38"/>
        <v>69.032258064516128</v>
      </c>
      <c r="K80" s="8">
        <v>-234.3</v>
      </c>
      <c r="L80" s="10">
        <v>410.5</v>
      </c>
      <c r="M80" s="9">
        <f t="shared" si="39"/>
        <v>644.79999999999995</v>
      </c>
      <c r="N80" s="9">
        <f t="shared" si="40"/>
        <v>-175.20273154075969</v>
      </c>
      <c r="O80" s="12">
        <f t="shared" si="51"/>
        <v>1371.5</v>
      </c>
      <c r="P80" s="12">
        <f t="shared" si="52"/>
        <v>518.80000000000018</v>
      </c>
      <c r="Q80" s="10">
        <f t="shared" si="41"/>
        <v>-852.69999999999982</v>
      </c>
      <c r="R80" s="11">
        <f t="shared" si="42"/>
        <v>37.827196500182296</v>
      </c>
      <c r="S80" s="10"/>
      <c r="T80" s="10">
        <v>1065.0999999999999</v>
      </c>
      <c r="U80" s="10">
        <f t="shared" si="43"/>
        <v>1065.0999999999999</v>
      </c>
      <c r="V80" s="11">
        <v>0</v>
      </c>
      <c r="W80" s="10">
        <v>1609.1</v>
      </c>
      <c r="X80" s="10">
        <f>879.7+272.9</f>
        <v>1152.5999999999999</v>
      </c>
      <c r="Y80" s="10">
        <f t="shared" si="45"/>
        <v>-456.5</v>
      </c>
      <c r="Z80" s="12">
        <f t="shared" si="46"/>
        <v>71.630103784724369</v>
      </c>
      <c r="AA80" s="12">
        <f t="shared" si="25"/>
        <v>-237.59999999999991</v>
      </c>
      <c r="AB80" s="12">
        <f t="shared" si="26"/>
        <v>431.30000000000018</v>
      </c>
      <c r="AC80" s="10">
        <f t="shared" si="47"/>
        <v>668.90000000000009</v>
      </c>
      <c r="AD80" s="11">
        <f t="shared" si="48"/>
        <v>-181.52356902356917</v>
      </c>
      <c r="AE80" s="109">
        <f t="shared" si="49"/>
        <v>8.2773778557457707</v>
      </c>
    </row>
    <row r="81" spans="1:31" ht="25.5">
      <c r="A81" s="19" t="s">
        <v>151</v>
      </c>
      <c r="B81" s="2" t="s">
        <v>152</v>
      </c>
      <c r="C81" s="9">
        <v>9734.5</v>
      </c>
      <c r="D81" s="10">
        <v>10398.1</v>
      </c>
      <c r="E81" s="8">
        <f t="shared" si="36"/>
        <v>663.60000000000036</v>
      </c>
      <c r="F81" s="9">
        <f t="shared" si="37"/>
        <v>106.81699111407879</v>
      </c>
      <c r="G81" s="10">
        <v>8212.9</v>
      </c>
      <c r="H81" s="10">
        <v>9020.7999999999993</v>
      </c>
      <c r="I81" s="9">
        <f t="shared" si="50"/>
        <v>807.89999999999964</v>
      </c>
      <c r="J81" s="31">
        <f t="shared" si="38"/>
        <v>109.83696380084989</v>
      </c>
      <c r="K81" s="8">
        <v>8.8000000000000007</v>
      </c>
      <c r="L81" s="10">
        <v>61.6</v>
      </c>
      <c r="M81" s="9">
        <f t="shared" si="39"/>
        <v>52.8</v>
      </c>
      <c r="N81" s="9">
        <f t="shared" si="40"/>
        <v>700</v>
      </c>
      <c r="O81" s="12">
        <f t="shared" si="51"/>
        <v>1521.6000000000004</v>
      </c>
      <c r="P81" s="12">
        <f t="shared" si="52"/>
        <v>1377.3000000000011</v>
      </c>
      <c r="Q81" s="10">
        <f t="shared" si="41"/>
        <v>-144.29999999999927</v>
      </c>
      <c r="R81" s="11">
        <f t="shared" si="42"/>
        <v>90.516561514195644</v>
      </c>
      <c r="S81" s="10">
        <v>10.5</v>
      </c>
      <c r="T81" s="10">
        <v>4.2</v>
      </c>
      <c r="U81" s="10">
        <f t="shared" si="43"/>
        <v>-6.3</v>
      </c>
      <c r="V81" s="11">
        <f t="shared" si="44"/>
        <v>40</v>
      </c>
      <c r="W81" s="10">
        <f>1498.1+26.5</f>
        <v>1524.6</v>
      </c>
      <c r="X81" s="10">
        <f>1286.4+29.1</f>
        <v>1315.5</v>
      </c>
      <c r="Y81" s="10">
        <f t="shared" si="45"/>
        <v>-209.09999999999991</v>
      </c>
      <c r="Z81" s="12">
        <f t="shared" si="46"/>
        <v>86.28492719401811</v>
      </c>
      <c r="AA81" s="12">
        <f t="shared" ref="AA81:AA87" si="53">O81+S81-W81</f>
        <v>7.5000000000004547</v>
      </c>
      <c r="AB81" s="12">
        <f t="shared" ref="AB81:AB87" si="54">P81+T81-X81</f>
        <v>66.000000000001137</v>
      </c>
      <c r="AC81" s="10">
        <f t="shared" si="47"/>
        <v>58.500000000000682</v>
      </c>
      <c r="AD81" s="11">
        <f t="shared" si="48"/>
        <v>879.99999999996191</v>
      </c>
      <c r="AE81" s="109">
        <f t="shared" si="49"/>
        <v>0.59241592213962169</v>
      </c>
    </row>
    <row r="82" spans="1:31" ht="25.5">
      <c r="A82" s="7" t="s">
        <v>153</v>
      </c>
      <c r="B82" s="2" t="s">
        <v>154</v>
      </c>
      <c r="C82" s="8">
        <v>11124.2</v>
      </c>
      <c r="D82" s="10">
        <v>11792.8</v>
      </c>
      <c r="E82" s="8">
        <f t="shared" si="36"/>
        <v>668.59999999999854</v>
      </c>
      <c r="F82" s="9">
        <f t="shared" si="37"/>
        <v>106.01031984322466</v>
      </c>
      <c r="G82" s="10">
        <v>9016.4</v>
      </c>
      <c r="H82" s="10">
        <v>9738.9</v>
      </c>
      <c r="I82" s="9">
        <f t="shared" si="50"/>
        <v>722.5</v>
      </c>
      <c r="J82" s="31">
        <f t="shared" si="38"/>
        <v>108.01317599041747</v>
      </c>
      <c r="K82" s="8">
        <v>495.8</v>
      </c>
      <c r="L82" s="10">
        <v>408.1</v>
      </c>
      <c r="M82" s="9">
        <f t="shared" si="39"/>
        <v>-87.699999999999989</v>
      </c>
      <c r="N82" s="9">
        <f t="shared" si="40"/>
        <v>82.311415893505441</v>
      </c>
      <c r="O82" s="12">
        <f t="shared" si="51"/>
        <v>2107.8000000000011</v>
      </c>
      <c r="P82" s="12">
        <f t="shared" si="52"/>
        <v>2053.8999999999996</v>
      </c>
      <c r="Q82" s="10">
        <f t="shared" si="41"/>
        <v>-53.900000000001455</v>
      </c>
      <c r="R82" s="11">
        <f t="shared" si="42"/>
        <v>97.442831388177183</v>
      </c>
      <c r="S82" s="10"/>
      <c r="T82" s="10">
        <v>0.2</v>
      </c>
      <c r="U82" s="10">
        <f t="shared" si="43"/>
        <v>0.2</v>
      </c>
      <c r="V82" s="11">
        <v>0</v>
      </c>
      <c r="W82" s="10">
        <f>1519.8+1.3</f>
        <v>1521.1</v>
      </c>
      <c r="X82" s="10">
        <f>1589.8</f>
        <v>1589.8</v>
      </c>
      <c r="Y82" s="10">
        <f t="shared" si="45"/>
        <v>68.700000000000045</v>
      </c>
      <c r="Z82" s="12">
        <f t="shared" si="46"/>
        <v>104.51646834527646</v>
      </c>
      <c r="AA82" s="12">
        <f t="shared" si="53"/>
        <v>586.70000000000118</v>
      </c>
      <c r="AB82" s="12">
        <f t="shared" si="54"/>
        <v>464.2999999999995</v>
      </c>
      <c r="AC82" s="10">
        <f t="shared" si="47"/>
        <v>-122.40000000000168</v>
      </c>
      <c r="AD82" s="11">
        <f t="shared" si="48"/>
        <v>79.137549002897316</v>
      </c>
      <c r="AE82" s="109">
        <f t="shared" si="49"/>
        <v>3.4605861203446171</v>
      </c>
    </row>
    <row r="83" spans="1:31" ht="25.5">
      <c r="A83" s="19" t="s">
        <v>155</v>
      </c>
      <c r="B83" s="2" t="s">
        <v>156</v>
      </c>
      <c r="C83" s="8">
        <v>77447.199999999997</v>
      </c>
      <c r="D83" s="10">
        <v>77050.899999999994</v>
      </c>
      <c r="E83" s="8">
        <f t="shared" si="36"/>
        <v>-396.30000000000291</v>
      </c>
      <c r="F83" s="9">
        <f t="shared" si="37"/>
        <v>99.488296542676807</v>
      </c>
      <c r="G83" s="10">
        <v>78335.5</v>
      </c>
      <c r="H83" s="10">
        <v>77411.199999999997</v>
      </c>
      <c r="I83" s="9">
        <f t="shared" si="50"/>
        <v>-924.30000000000291</v>
      </c>
      <c r="J83" s="31">
        <f t="shared" si="38"/>
        <v>98.82007518940965</v>
      </c>
      <c r="K83" s="8">
        <v>-991.4</v>
      </c>
      <c r="L83" s="10">
        <v>-1237.0999999999999</v>
      </c>
      <c r="M83" s="9">
        <f t="shared" si="39"/>
        <v>-245.69999999999993</v>
      </c>
      <c r="N83" s="9">
        <f t="shared" si="40"/>
        <v>124.78313496066168</v>
      </c>
      <c r="O83" s="12">
        <f t="shared" si="51"/>
        <v>-888.30000000000291</v>
      </c>
      <c r="P83" s="12">
        <f t="shared" si="52"/>
        <v>-360.30000000000291</v>
      </c>
      <c r="Q83" s="10">
        <f t="shared" si="41"/>
        <v>528</v>
      </c>
      <c r="R83" s="11">
        <f t="shared" si="42"/>
        <v>40.560621411685439</v>
      </c>
      <c r="S83" s="10">
        <v>277.7</v>
      </c>
      <c r="T83" s="10">
        <v>66.900000000000006</v>
      </c>
      <c r="U83" s="10">
        <f t="shared" si="43"/>
        <v>-210.79999999999998</v>
      </c>
      <c r="V83" s="11">
        <f t="shared" si="44"/>
        <v>24.090745408714444</v>
      </c>
      <c r="W83" s="10">
        <f>2865.3+154.3</f>
        <v>3019.6000000000004</v>
      </c>
      <c r="X83" s="10">
        <v>3840.4</v>
      </c>
      <c r="Y83" s="10">
        <f t="shared" si="45"/>
        <v>820.79999999999973</v>
      </c>
      <c r="Z83" s="12">
        <f t="shared" si="46"/>
        <v>127.18240826599549</v>
      </c>
      <c r="AA83" s="12">
        <f t="shared" si="53"/>
        <v>-3630.2000000000035</v>
      </c>
      <c r="AB83" s="12">
        <f t="shared" si="54"/>
        <v>-4133.8000000000029</v>
      </c>
      <c r="AC83" s="10">
        <f t="shared" si="47"/>
        <v>-503.59999999999945</v>
      </c>
      <c r="AD83" s="11">
        <f t="shared" si="48"/>
        <v>113.87251391107924</v>
      </c>
      <c r="AE83" s="109">
        <f t="shared" si="49"/>
        <v>-1.6055620375621829</v>
      </c>
    </row>
    <row r="84" spans="1:31" ht="25.5">
      <c r="A84" s="7" t="s">
        <v>157</v>
      </c>
      <c r="B84" s="2" t="s">
        <v>158</v>
      </c>
      <c r="C84" s="9">
        <v>52539.5</v>
      </c>
      <c r="D84" s="10">
        <v>55639.7</v>
      </c>
      <c r="E84" s="8">
        <f t="shared" si="36"/>
        <v>3100.1999999999971</v>
      </c>
      <c r="F84" s="9">
        <f t="shared" si="37"/>
        <v>105.90070328038902</v>
      </c>
      <c r="G84" s="10">
        <v>53336.5</v>
      </c>
      <c r="H84" s="10">
        <v>57525</v>
      </c>
      <c r="I84" s="9">
        <f t="shared" si="50"/>
        <v>4188.5</v>
      </c>
      <c r="J84" s="31">
        <f t="shared" si="38"/>
        <v>107.85297122983324</v>
      </c>
      <c r="K84" s="8">
        <v>-8278</v>
      </c>
      <c r="L84" s="10">
        <v>-2748.9</v>
      </c>
      <c r="M84" s="9">
        <f t="shared" si="39"/>
        <v>5529.1</v>
      </c>
      <c r="N84" s="9">
        <f t="shared" si="40"/>
        <v>33.207296448417495</v>
      </c>
      <c r="O84" s="12">
        <f t="shared" si="51"/>
        <v>-797</v>
      </c>
      <c r="P84" s="12">
        <f t="shared" si="52"/>
        <v>-1885.3000000000029</v>
      </c>
      <c r="Q84" s="10">
        <f t="shared" si="41"/>
        <v>-1088.3000000000029</v>
      </c>
      <c r="R84" s="11">
        <f t="shared" si="42"/>
        <v>236.54956085319986</v>
      </c>
      <c r="S84" s="10">
        <v>21.2</v>
      </c>
      <c r="T84" s="10">
        <v>22.9</v>
      </c>
      <c r="U84" s="10">
        <f t="shared" si="43"/>
        <v>1.6999999999999993</v>
      </c>
      <c r="V84" s="11">
        <f t="shared" si="44"/>
        <v>108.01886792452831</v>
      </c>
      <c r="W84" s="10">
        <f>7527.5+100.7</f>
        <v>7628.2</v>
      </c>
      <c r="X84" s="10">
        <f>372+283.6</f>
        <v>655.6</v>
      </c>
      <c r="Y84" s="10">
        <f t="shared" si="45"/>
        <v>-6972.5999999999995</v>
      </c>
      <c r="Z84" s="12">
        <f t="shared" si="46"/>
        <v>8.5944259458325689</v>
      </c>
      <c r="AA84" s="12">
        <f t="shared" si="53"/>
        <v>-8404</v>
      </c>
      <c r="AB84" s="12">
        <f t="shared" si="54"/>
        <v>-2518.0000000000027</v>
      </c>
      <c r="AC84" s="10">
        <f t="shared" si="47"/>
        <v>5885.9999999999973</v>
      </c>
      <c r="AD84" s="11">
        <f t="shared" si="48"/>
        <v>29.961922893860098</v>
      </c>
      <c r="AE84" s="109">
        <f t="shared" si="49"/>
        <v>-4.9405370625650393</v>
      </c>
    </row>
    <row r="85" spans="1:31" ht="25.5">
      <c r="A85" s="19" t="s">
        <v>159</v>
      </c>
      <c r="B85" s="2" t="s">
        <v>160</v>
      </c>
      <c r="C85" s="8">
        <v>53850.8</v>
      </c>
      <c r="D85" s="10">
        <v>53379.199999999997</v>
      </c>
      <c r="E85" s="8">
        <f t="shared" si="36"/>
        <v>-471.60000000000582</v>
      </c>
      <c r="F85" s="9">
        <f t="shared" si="37"/>
        <v>99.124246993545114</v>
      </c>
      <c r="G85" s="10">
        <v>48510.3</v>
      </c>
      <c r="H85" s="10">
        <v>48470.2</v>
      </c>
      <c r="I85" s="9">
        <f t="shared" si="50"/>
        <v>-40.100000000005821</v>
      </c>
      <c r="J85" s="31">
        <f t="shared" si="38"/>
        <v>99.917337142833574</v>
      </c>
      <c r="K85" s="9">
        <v>657.5</v>
      </c>
      <c r="L85" s="10">
        <v>-3334.5</v>
      </c>
      <c r="M85" s="9">
        <f t="shared" si="39"/>
        <v>-3992</v>
      </c>
      <c r="N85" s="9">
        <f t="shared" si="40"/>
        <v>-507.14828897338401</v>
      </c>
      <c r="O85" s="12">
        <f t="shared" si="51"/>
        <v>5340.5</v>
      </c>
      <c r="P85" s="12">
        <f t="shared" si="52"/>
        <v>4909</v>
      </c>
      <c r="Q85" s="10">
        <f t="shared" si="41"/>
        <v>-431.5</v>
      </c>
      <c r="R85" s="11">
        <f t="shared" si="42"/>
        <v>91.920232187997371</v>
      </c>
      <c r="S85" s="10">
        <v>2354.1999999999998</v>
      </c>
      <c r="T85" s="10">
        <v>2707.6</v>
      </c>
      <c r="U85" s="10">
        <f t="shared" si="43"/>
        <v>353.40000000000009</v>
      </c>
      <c r="V85" s="11">
        <f t="shared" si="44"/>
        <v>115.01146886415768</v>
      </c>
      <c r="W85" s="10">
        <v>7037</v>
      </c>
      <c r="X85" s="10">
        <f>165.3+10636.9+148.9</f>
        <v>10951.099999999999</v>
      </c>
      <c r="Y85" s="10">
        <f t="shared" si="45"/>
        <v>3914.0999999999985</v>
      </c>
      <c r="Z85" s="12">
        <f t="shared" si="46"/>
        <v>155.62171379849366</v>
      </c>
      <c r="AA85" s="12">
        <f t="shared" si="53"/>
        <v>657.69999999999982</v>
      </c>
      <c r="AB85" s="12">
        <f t="shared" si="54"/>
        <v>-3334.4999999999982</v>
      </c>
      <c r="AC85" s="10">
        <f t="shared" si="47"/>
        <v>-3992.199999999998</v>
      </c>
      <c r="AD85" s="11">
        <f t="shared" si="48"/>
        <v>-506.99407024479228</v>
      </c>
      <c r="AE85" s="109">
        <f t="shared" si="49"/>
        <v>-6.246815238894551</v>
      </c>
    </row>
    <row r="86" spans="1:31" ht="25.5">
      <c r="A86" s="7" t="s">
        <v>161</v>
      </c>
      <c r="B86" s="2" t="s">
        <v>162</v>
      </c>
      <c r="C86" s="9">
        <v>57146.7</v>
      </c>
      <c r="D86" s="10">
        <v>59241.599999999999</v>
      </c>
      <c r="E86" s="8">
        <f t="shared" si="36"/>
        <v>2094.9000000000015</v>
      </c>
      <c r="F86" s="9">
        <f t="shared" si="37"/>
        <v>103.66582847303518</v>
      </c>
      <c r="G86" s="10">
        <v>48425.7</v>
      </c>
      <c r="H86" s="10">
        <v>51085.599999999999</v>
      </c>
      <c r="I86" s="9">
        <f t="shared" si="50"/>
        <v>2659.9000000000015</v>
      </c>
      <c r="J86" s="31">
        <f t="shared" si="38"/>
        <v>105.49274455506064</v>
      </c>
      <c r="K86" s="9">
        <v>762</v>
      </c>
      <c r="L86" s="10">
        <v>-1576.9</v>
      </c>
      <c r="M86" s="9">
        <f t="shared" si="39"/>
        <v>-2338.9</v>
      </c>
      <c r="N86" s="9">
        <f t="shared" si="40"/>
        <v>-206.94225721784778</v>
      </c>
      <c r="O86" s="12">
        <f t="shared" si="51"/>
        <v>8721</v>
      </c>
      <c r="P86" s="12">
        <f t="shared" si="52"/>
        <v>8156</v>
      </c>
      <c r="Q86" s="10">
        <f t="shared" si="41"/>
        <v>-565</v>
      </c>
      <c r="R86" s="11">
        <f t="shared" si="42"/>
        <v>93.521385162252031</v>
      </c>
      <c r="S86" s="10">
        <v>38.9</v>
      </c>
      <c r="T86" s="10">
        <v>15.3</v>
      </c>
      <c r="U86" s="10">
        <f t="shared" si="43"/>
        <v>-23.599999999999998</v>
      </c>
      <c r="V86" s="11">
        <f t="shared" si="44"/>
        <v>39.331619537275067</v>
      </c>
      <c r="W86" s="10">
        <f>4.2+7974.8+50.5</f>
        <v>8029.5</v>
      </c>
      <c r="X86" s="10">
        <f>9672.2+73.6</f>
        <v>9745.8000000000011</v>
      </c>
      <c r="Y86" s="10">
        <f t="shared" si="45"/>
        <v>1716.3000000000011</v>
      </c>
      <c r="Z86" s="12">
        <f t="shared" si="46"/>
        <v>121.37492994582479</v>
      </c>
      <c r="AA86" s="12">
        <f t="shared" si="53"/>
        <v>730.39999999999964</v>
      </c>
      <c r="AB86" s="12">
        <f t="shared" si="54"/>
        <v>-1574.5000000000009</v>
      </c>
      <c r="AC86" s="10">
        <f t="shared" si="47"/>
        <v>-2304.9000000000005</v>
      </c>
      <c r="AD86" s="11">
        <f t="shared" si="48"/>
        <v>-215.56681270536714</v>
      </c>
      <c r="AE86" s="109">
        <f t="shared" si="49"/>
        <v>-2.6618119699670504</v>
      </c>
    </row>
    <row r="87" spans="1:31" ht="26.25" thickBot="1">
      <c r="A87" s="19" t="s">
        <v>163</v>
      </c>
      <c r="B87" s="32" t="s">
        <v>164</v>
      </c>
      <c r="C87" s="8">
        <v>64127.5</v>
      </c>
      <c r="D87" s="10">
        <v>65762.3</v>
      </c>
      <c r="E87" s="8">
        <f t="shared" si="36"/>
        <v>1634.8000000000029</v>
      </c>
      <c r="F87" s="9">
        <f t="shared" si="37"/>
        <v>102.54929632373006</v>
      </c>
      <c r="G87" s="10">
        <v>59482.5</v>
      </c>
      <c r="H87" s="10">
        <v>60616.7</v>
      </c>
      <c r="I87" s="9">
        <f t="shared" si="50"/>
        <v>1134.1999999999971</v>
      </c>
      <c r="J87" s="31">
        <f t="shared" si="38"/>
        <v>101.90677930483756</v>
      </c>
      <c r="K87" s="8">
        <v>1676.2</v>
      </c>
      <c r="L87" s="10">
        <v>558.1</v>
      </c>
      <c r="M87" s="9">
        <f t="shared" si="39"/>
        <v>-1118.0999999999999</v>
      </c>
      <c r="N87" s="9">
        <f t="shared" si="40"/>
        <v>33.295549457105352</v>
      </c>
      <c r="O87" s="12">
        <f t="shared" si="51"/>
        <v>4645</v>
      </c>
      <c r="P87" s="12">
        <f t="shared" si="52"/>
        <v>5145.6000000000058</v>
      </c>
      <c r="Q87" s="10">
        <f t="shared" si="41"/>
        <v>500.60000000000582</v>
      </c>
      <c r="R87" s="11">
        <f t="shared" si="42"/>
        <v>110.77717976318635</v>
      </c>
      <c r="S87" s="10">
        <v>75.2</v>
      </c>
      <c r="T87" s="10">
        <v>25.7</v>
      </c>
      <c r="U87" s="10">
        <f t="shared" si="43"/>
        <v>-49.5</v>
      </c>
      <c r="V87" s="11">
        <f t="shared" si="44"/>
        <v>34.175531914893611</v>
      </c>
      <c r="W87" s="10">
        <f>3185+17.9</f>
        <v>3202.9</v>
      </c>
      <c r="X87" s="10">
        <f>3794+346.4</f>
        <v>4140.3999999999996</v>
      </c>
      <c r="Y87" s="10">
        <f t="shared" si="45"/>
        <v>937.49999999999955</v>
      </c>
      <c r="Z87" s="12">
        <f t="shared" si="46"/>
        <v>129.27034874644852</v>
      </c>
      <c r="AA87" s="12">
        <f t="shared" si="53"/>
        <v>1517.2999999999997</v>
      </c>
      <c r="AB87" s="12">
        <f t="shared" si="54"/>
        <v>1030.900000000006</v>
      </c>
      <c r="AC87" s="10">
        <f t="shared" si="47"/>
        <v>-486.39999999999372</v>
      </c>
      <c r="AD87" s="11">
        <f t="shared" si="48"/>
        <v>67.94305674553523</v>
      </c>
      <c r="AE87" s="109">
        <f t="shared" si="49"/>
        <v>0.84866253157204052</v>
      </c>
    </row>
    <row r="88" spans="1:31" ht="17.100000000000001" customHeight="1" thickBot="1">
      <c r="A88" s="7" t="s">
        <v>165</v>
      </c>
      <c r="B88" s="33" t="s">
        <v>166</v>
      </c>
      <c r="C88" s="92"/>
      <c r="D88" s="92">
        <v>11082.2</v>
      </c>
      <c r="E88" s="93">
        <f t="shared" si="36"/>
        <v>11082.2</v>
      </c>
      <c r="F88" s="94">
        <v>0</v>
      </c>
      <c r="G88" s="92"/>
      <c r="H88" s="92">
        <v>8883.4</v>
      </c>
      <c r="I88" s="94">
        <f t="shared" si="50"/>
        <v>8883.4</v>
      </c>
      <c r="J88" s="95">
        <v>0</v>
      </c>
      <c r="K88" s="35"/>
      <c r="L88" s="92">
        <v>626.5</v>
      </c>
      <c r="M88" s="15">
        <f t="shared" si="39"/>
        <v>626.5</v>
      </c>
      <c r="N88" s="15">
        <v>0</v>
      </c>
      <c r="O88" s="18">
        <f t="shared" si="51"/>
        <v>0</v>
      </c>
      <c r="P88" s="18">
        <f t="shared" si="52"/>
        <v>2198.8000000000011</v>
      </c>
      <c r="Q88" s="16">
        <f t="shared" si="41"/>
        <v>2198.8000000000011</v>
      </c>
      <c r="R88" s="17">
        <v>0</v>
      </c>
      <c r="S88" s="16"/>
      <c r="T88" s="16">
        <v>37.5</v>
      </c>
      <c r="U88" s="16">
        <f t="shared" si="43"/>
        <v>37.5</v>
      </c>
      <c r="V88" s="17">
        <v>0</v>
      </c>
      <c r="W88" s="16"/>
      <c r="X88" s="16">
        <v>1587.6</v>
      </c>
      <c r="Y88" s="16">
        <f>X88-W88</f>
        <v>1587.6</v>
      </c>
      <c r="Z88" s="18">
        <v>0</v>
      </c>
      <c r="AA88" s="18">
        <f>O88+S88-W88</f>
        <v>0</v>
      </c>
      <c r="AB88" s="18">
        <f>P88+T88-X88</f>
        <v>648.70000000000118</v>
      </c>
      <c r="AC88" s="16">
        <f t="shared" si="47"/>
        <v>648.70000000000118</v>
      </c>
      <c r="AD88" s="17">
        <v>0</v>
      </c>
      <c r="AE88" s="110">
        <f t="shared" si="49"/>
        <v>5.6532096515132375</v>
      </c>
    </row>
    <row r="89" spans="1:31" s="65" customFormat="1" ht="24.95" customHeight="1" thickBot="1">
      <c r="A89" s="267" t="s">
        <v>167</v>
      </c>
      <c r="B89" s="268"/>
      <c r="C89" s="88">
        <f>SUM(C71:C88)</f>
        <v>662956.1</v>
      </c>
      <c r="D89" s="88">
        <f>SUM(D71:D88)</f>
        <v>698216.89999999991</v>
      </c>
      <c r="E89" s="88">
        <f>D89-C89</f>
        <v>35260.79999999993</v>
      </c>
      <c r="F89" s="88">
        <f>D89/C89*100</f>
        <v>105.31872321560959</v>
      </c>
      <c r="G89" s="88">
        <f>SUM(G71:G88)</f>
        <v>620542.30000000005</v>
      </c>
      <c r="H89" s="88">
        <f t="shared" ref="H89" si="55">SUM(H71:H88)</f>
        <v>645917.39999999991</v>
      </c>
      <c r="I89" s="88">
        <f>H89-G89</f>
        <v>25375.09999999986</v>
      </c>
      <c r="J89" s="88">
        <f>H89/G89*100</f>
        <v>104.08918134992568</v>
      </c>
      <c r="K89" s="88">
        <f>SUM(K71:K88)</f>
        <v>-21172.499999999996</v>
      </c>
      <c r="L89" s="88">
        <f>SUM(L71:L88)</f>
        <v>-13644.599999999999</v>
      </c>
      <c r="M89" s="57">
        <f>L89-K89</f>
        <v>7527.8999999999978</v>
      </c>
      <c r="N89" s="57">
        <f>L89/K89*100</f>
        <v>64.444916755224952</v>
      </c>
      <c r="O89" s="63">
        <f>C89-G89</f>
        <v>42413.79999999993</v>
      </c>
      <c r="P89" s="63">
        <f>D89-H89</f>
        <v>52299.5</v>
      </c>
      <c r="Q89" s="63">
        <f>P89-O89</f>
        <v>9885.7000000000698</v>
      </c>
      <c r="R89" s="60">
        <f t="shared" si="42"/>
        <v>123.30774417760277</v>
      </c>
      <c r="S89" s="88">
        <f>SUM(S71:S88)</f>
        <v>9715.7000000000007</v>
      </c>
      <c r="T89" s="88">
        <f>SUM(T71:T88)</f>
        <v>6393.4</v>
      </c>
      <c r="U89" s="63">
        <f>T89-S89</f>
        <v>-3322.3000000000011</v>
      </c>
      <c r="V89" s="60">
        <f>T89/S89*100</f>
        <v>65.804831355435013</v>
      </c>
      <c r="W89" s="88">
        <f>SUM(W71:W88)</f>
        <v>77351.599999999991</v>
      </c>
      <c r="X89" s="88">
        <f>SUM(X71:X88)</f>
        <v>75397.600000000006</v>
      </c>
      <c r="Y89" s="63">
        <f>X89-W89</f>
        <v>-1953.9999999999854</v>
      </c>
      <c r="Z89" s="63">
        <f>X89/W89*100</f>
        <v>97.473872550794056</v>
      </c>
      <c r="AA89" s="88">
        <f>SUM(AA71:AA88)</f>
        <v>-25222.100000000002</v>
      </c>
      <c r="AB89" s="88">
        <f>SUM(AB71:AB88)</f>
        <v>-16704.699999999997</v>
      </c>
      <c r="AC89" s="63">
        <f>AB89-AA89</f>
        <v>8517.4000000000051</v>
      </c>
      <c r="AD89" s="60">
        <f>AB89/AA89*100</f>
        <v>66.230409046035007</v>
      </c>
      <c r="AE89" s="113">
        <f t="shared" si="49"/>
        <v>-1.9542064937127703</v>
      </c>
    </row>
    <row r="90" spans="1:31" s="65" customFormat="1" ht="24.95" customHeight="1" thickBot="1">
      <c r="A90" s="267" t="s">
        <v>168</v>
      </c>
      <c r="B90" s="268"/>
      <c r="C90" s="89">
        <f>C89+C70</f>
        <v>1673082.8000000003</v>
      </c>
      <c r="D90" s="89">
        <f>D89+D70</f>
        <v>1681346.1</v>
      </c>
      <c r="E90" s="56">
        <f t="shared" si="36"/>
        <v>8263.2999999998137</v>
      </c>
      <c r="F90" s="57">
        <f t="shared" si="37"/>
        <v>100.49389665592162</v>
      </c>
      <c r="G90" s="89">
        <f>G89+G70</f>
        <v>1591332.8</v>
      </c>
      <c r="H90" s="89">
        <f>H89+H70</f>
        <v>1598154.2</v>
      </c>
      <c r="I90" s="57">
        <f t="shared" si="50"/>
        <v>6821.3999999999069</v>
      </c>
      <c r="J90" s="90">
        <f t="shared" si="38"/>
        <v>100.42865954877571</v>
      </c>
      <c r="K90" s="89">
        <f>K89+K70</f>
        <v>-24497.899999999994</v>
      </c>
      <c r="L90" s="89">
        <f>L89+L70</f>
        <v>-48024.3</v>
      </c>
      <c r="M90" s="57">
        <f t="shared" si="39"/>
        <v>-23526.400000000009</v>
      </c>
      <c r="N90" s="57">
        <f t="shared" si="40"/>
        <v>196.0343539650338</v>
      </c>
      <c r="O90" s="89">
        <f>O89+O70</f>
        <v>81750.000000000116</v>
      </c>
      <c r="P90" s="89">
        <f>P89+P70</f>
        <v>83191.90000000014</v>
      </c>
      <c r="Q90" s="59">
        <f t="shared" si="41"/>
        <v>1441.9000000000233</v>
      </c>
      <c r="R90" s="60">
        <f t="shared" si="42"/>
        <v>101.76379204892969</v>
      </c>
      <c r="S90" s="89">
        <f>S89+S70</f>
        <v>35759.300000000003</v>
      </c>
      <c r="T90" s="89">
        <f>T89+T70</f>
        <v>29493.1</v>
      </c>
      <c r="U90" s="63">
        <f>T90-S90</f>
        <v>-6266.2000000000044</v>
      </c>
      <c r="V90" s="60">
        <f t="shared" si="44"/>
        <v>82.476726334128458</v>
      </c>
      <c r="W90" s="89">
        <f>W89+W70</f>
        <v>243267.69999999995</v>
      </c>
      <c r="X90" s="89">
        <f>X89+X70</f>
        <v>259976.1</v>
      </c>
      <c r="Y90" s="59">
        <f t="shared" si="45"/>
        <v>16708.400000000052</v>
      </c>
      <c r="Z90" s="63">
        <f t="shared" si="46"/>
        <v>106.86831831763939</v>
      </c>
      <c r="AA90" s="89">
        <f>AA89+AA70</f>
        <v>-125758.39999999979</v>
      </c>
      <c r="AB90" s="89">
        <f>AB89+AB70</f>
        <v>-147291.09999999986</v>
      </c>
      <c r="AC90" s="59">
        <f t="shared" si="47"/>
        <v>-21532.70000000007</v>
      </c>
      <c r="AD90" s="60">
        <f>AB90/AA90*100</f>
        <v>117.12227572869894</v>
      </c>
      <c r="AE90" s="112">
        <f t="shared" si="49"/>
        <v>-2.8563006747986033</v>
      </c>
    </row>
  </sheetData>
  <mergeCells count="21">
    <mergeCell ref="AE5:AE6"/>
    <mergeCell ref="A2:N2"/>
    <mergeCell ref="A3:N3"/>
    <mergeCell ref="A5:A6"/>
    <mergeCell ref="C5:F5"/>
    <mergeCell ref="K5:N5"/>
    <mergeCell ref="G5:J5"/>
    <mergeCell ref="B5:B6"/>
    <mergeCell ref="W5:Z5"/>
    <mergeCell ref="AA5:AD5"/>
    <mergeCell ref="A90:B90"/>
    <mergeCell ref="S5:V5"/>
    <mergeCell ref="A39:B39"/>
    <mergeCell ref="A40:B40"/>
    <mergeCell ref="A69:B69"/>
    <mergeCell ref="A70:B70"/>
    <mergeCell ref="A89:B89"/>
    <mergeCell ref="A11:B11"/>
    <mergeCell ref="A28:B28"/>
    <mergeCell ref="A33:B33"/>
    <mergeCell ref="O5:R5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180" verticalDpi="180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9"/>
  <sheetViews>
    <sheetView tabSelected="1" view="pageBreakPreview" zoomScale="71" zoomScaleNormal="51" zoomScaleSheetLayoutView="71" workbookViewId="0">
      <pane xSplit="2" ySplit="7" topLeftCell="D97" activePane="bottomRight" state="frozen"/>
      <selection pane="topRight" activeCell="C1" sqref="C1"/>
      <selection pane="bottomLeft" activeCell="A8" sqref="A8"/>
      <selection pane="bottomRight" activeCell="B109" sqref="B109"/>
    </sheetView>
  </sheetViews>
  <sheetFormatPr defaultRowHeight="20.25"/>
  <cols>
    <col min="1" max="1" width="5.140625" style="118" customWidth="1"/>
    <col min="2" max="2" width="54.140625" style="238" customWidth="1"/>
    <col min="3" max="3" width="19.140625" style="118" customWidth="1"/>
    <col min="4" max="4" width="18.42578125" style="118" customWidth="1"/>
    <col min="5" max="5" width="14.85546875" style="118" customWidth="1"/>
    <col min="6" max="6" width="13.85546875" style="118" customWidth="1"/>
    <col min="7" max="7" width="18.85546875" style="118" customWidth="1"/>
    <col min="8" max="8" width="18.140625" style="118" customWidth="1"/>
    <col min="9" max="9" width="16.140625" style="118" customWidth="1"/>
    <col min="10" max="10" width="12.7109375" style="118" customWidth="1"/>
    <col min="11" max="11" width="19.7109375" style="118" customWidth="1"/>
    <col min="12" max="12" width="19.5703125" style="118" customWidth="1"/>
    <col min="13" max="13" width="18.7109375" style="118" customWidth="1"/>
    <col min="14" max="14" width="13.85546875" style="118" customWidth="1"/>
    <col min="15" max="15" width="19" style="118" customWidth="1"/>
    <col min="16" max="16" width="9.140625" style="118"/>
    <col min="17" max="17" width="15.28515625" style="118" customWidth="1"/>
    <col min="18" max="233" width="9.140625" style="118"/>
    <col min="234" max="234" width="5.140625" style="118" customWidth="1"/>
    <col min="235" max="235" width="9.140625" style="118"/>
    <col min="236" max="236" width="25.5703125" style="118" customWidth="1"/>
    <col min="237" max="238" width="13.5703125" style="118" customWidth="1"/>
    <col min="239" max="239" width="13.85546875" style="118" customWidth="1"/>
    <col min="240" max="243" width="14.85546875" style="118" customWidth="1"/>
    <col min="244" max="245" width="14.28515625" style="118" customWidth="1"/>
    <col min="246" max="489" width="9.140625" style="118"/>
    <col min="490" max="490" width="5.140625" style="118" customWidth="1"/>
    <col min="491" max="491" width="9.140625" style="118"/>
    <col min="492" max="492" width="25.5703125" style="118" customWidth="1"/>
    <col min="493" max="494" width="13.5703125" style="118" customWidth="1"/>
    <col min="495" max="495" width="13.85546875" style="118" customWidth="1"/>
    <col min="496" max="499" width="14.85546875" style="118" customWidth="1"/>
    <col min="500" max="501" width="14.28515625" style="118" customWidth="1"/>
    <col min="502" max="745" width="9.140625" style="118"/>
    <col min="746" max="746" width="5.140625" style="118" customWidth="1"/>
    <col min="747" max="747" width="9.140625" style="118"/>
    <col min="748" max="748" width="25.5703125" style="118" customWidth="1"/>
    <col min="749" max="750" width="13.5703125" style="118" customWidth="1"/>
    <col min="751" max="751" width="13.85546875" style="118" customWidth="1"/>
    <col min="752" max="755" width="14.85546875" style="118" customWidth="1"/>
    <col min="756" max="757" width="14.28515625" style="118" customWidth="1"/>
    <col min="758" max="1001" width="9.140625" style="118"/>
    <col min="1002" max="1002" width="5.140625" style="118" customWidth="1"/>
    <col min="1003" max="1003" width="9.140625" style="118"/>
    <col min="1004" max="1004" width="25.5703125" style="118" customWidth="1"/>
    <col min="1005" max="1006" width="13.5703125" style="118" customWidth="1"/>
    <col min="1007" max="1007" width="13.85546875" style="118" customWidth="1"/>
    <col min="1008" max="1011" width="14.85546875" style="118" customWidth="1"/>
    <col min="1012" max="1013" width="14.28515625" style="118" customWidth="1"/>
    <col min="1014" max="1257" width="9.140625" style="118"/>
    <col min="1258" max="1258" width="5.140625" style="118" customWidth="1"/>
    <col min="1259" max="1259" width="9.140625" style="118"/>
    <col min="1260" max="1260" width="25.5703125" style="118" customWidth="1"/>
    <col min="1261" max="1262" width="13.5703125" style="118" customWidth="1"/>
    <col min="1263" max="1263" width="13.85546875" style="118" customWidth="1"/>
    <col min="1264" max="1267" width="14.85546875" style="118" customWidth="1"/>
    <col min="1268" max="1269" width="14.28515625" style="118" customWidth="1"/>
    <col min="1270" max="1513" width="9.140625" style="118"/>
    <col min="1514" max="1514" width="5.140625" style="118" customWidth="1"/>
    <col min="1515" max="1515" width="9.140625" style="118"/>
    <col min="1516" max="1516" width="25.5703125" style="118" customWidth="1"/>
    <col min="1517" max="1518" width="13.5703125" style="118" customWidth="1"/>
    <col min="1519" max="1519" width="13.85546875" style="118" customWidth="1"/>
    <col min="1520" max="1523" width="14.85546875" style="118" customWidth="1"/>
    <col min="1524" max="1525" width="14.28515625" style="118" customWidth="1"/>
    <col min="1526" max="1769" width="9.140625" style="118"/>
    <col min="1770" max="1770" width="5.140625" style="118" customWidth="1"/>
    <col min="1771" max="1771" width="9.140625" style="118"/>
    <col min="1772" max="1772" width="25.5703125" style="118" customWidth="1"/>
    <col min="1773" max="1774" width="13.5703125" style="118" customWidth="1"/>
    <col min="1775" max="1775" width="13.85546875" style="118" customWidth="1"/>
    <col min="1776" max="1779" width="14.85546875" style="118" customWidth="1"/>
    <col min="1780" max="1781" width="14.28515625" style="118" customWidth="1"/>
    <col min="1782" max="2025" width="9.140625" style="118"/>
    <col min="2026" max="2026" width="5.140625" style="118" customWidth="1"/>
    <col min="2027" max="2027" width="9.140625" style="118"/>
    <col min="2028" max="2028" width="25.5703125" style="118" customWidth="1"/>
    <col min="2029" max="2030" width="13.5703125" style="118" customWidth="1"/>
    <col min="2031" max="2031" width="13.85546875" style="118" customWidth="1"/>
    <col min="2032" max="2035" width="14.85546875" style="118" customWidth="1"/>
    <col min="2036" max="2037" width="14.28515625" style="118" customWidth="1"/>
    <col min="2038" max="2281" width="9.140625" style="118"/>
    <col min="2282" max="2282" width="5.140625" style="118" customWidth="1"/>
    <col min="2283" max="2283" width="9.140625" style="118"/>
    <col min="2284" max="2284" width="25.5703125" style="118" customWidth="1"/>
    <col min="2285" max="2286" width="13.5703125" style="118" customWidth="1"/>
    <col min="2287" max="2287" width="13.85546875" style="118" customWidth="1"/>
    <col min="2288" max="2291" width="14.85546875" style="118" customWidth="1"/>
    <col min="2292" max="2293" width="14.28515625" style="118" customWidth="1"/>
    <col min="2294" max="2537" width="9.140625" style="118"/>
    <col min="2538" max="2538" width="5.140625" style="118" customWidth="1"/>
    <col min="2539" max="2539" width="9.140625" style="118"/>
    <col min="2540" max="2540" width="25.5703125" style="118" customWidth="1"/>
    <col min="2541" max="2542" width="13.5703125" style="118" customWidth="1"/>
    <col min="2543" max="2543" width="13.85546875" style="118" customWidth="1"/>
    <col min="2544" max="2547" width="14.85546875" style="118" customWidth="1"/>
    <col min="2548" max="2549" width="14.28515625" style="118" customWidth="1"/>
    <col min="2550" max="2793" width="9.140625" style="118"/>
    <col min="2794" max="2794" width="5.140625" style="118" customWidth="1"/>
    <col min="2795" max="2795" width="9.140625" style="118"/>
    <col min="2796" max="2796" width="25.5703125" style="118" customWidth="1"/>
    <col min="2797" max="2798" width="13.5703125" style="118" customWidth="1"/>
    <col min="2799" max="2799" width="13.85546875" style="118" customWidth="1"/>
    <col min="2800" max="2803" width="14.85546875" style="118" customWidth="1"/>
    <col min="2804" max="2805" width="14.28515625" style="118" customWidth="1"/>
    <col min="2806" max="3049" width="9.140625" style="118"/>
    <col min="3050" max="3050" width="5.140625" style="118" customWidth="1"/>
    <col min="3051" max="3051" width="9.140625" style="118"/>
    <col min="3052" max="3052" width="25.5703125" style="118" customWidth="1"/>
    <col min="3053" max="3054" width="13.5703125" style="118" customWidth="1"/>
    <col min="3055" max="3055" width="13.85546875" style="118" customWidth="1"/>
    <col min="3056" max="3059" width="14.85546875" style="118" customWidth="1"/>
    <col min="3060" max="3061" width="14.28515625" style="118" customWidth="1"/>
    <col min="3062" max="3305" width="9.140625" style="118"/>
    <col min="3306" max="3306" width="5.140625" style="118" customWidth="1"/>
    <col min="3307" max="3307" width="9.140625" style="118"/>
    <col min="3308" max="3308" width="25.5703125" style="118" customWidth="1"/>
    <col min="3309" max="3310" width="13.5703125" style="118" customWidth="1"/>
    <col min="3311" max="3311" width="13.85546875" style="118" customWidth="1"/>
    <col min="3312" max="3315" width="14.85546875" style="118" customWidth="1"/>
    <col min="3316" max="3317" width="14.28515625" style="118" customWidth="1"/>
    <col min="3318" max="3561" width="9.140625" style="118"/>
    <col min="3562" max="3562" width="5.140625" style="118" customWidth="1"/>
    <col min="3563" max="3563" width="9.140625" style="118"/>
    <col min="3564" max="3564" width="25.5703125" style="118" customWidth="1"/>
    <col min="3565" max="3566" width="13.5703125" style="118" customWidth="1"/>
    <col min="3567" max="3567" width="13.85546875" style="118" customWidth="1"/>
    <col min="3568" max="3571" width="14.85546875" style="118" customWidth="1"/>
    <col min="3572" max="3573" width="14.28515625" style="118" customWidth="1"/>
    <col min="3574" max="3817" width="9.140625" style="118"/>
    <col min="3818" max="3818" width="5.140625" style="118" customWidth="1"/>
    <col min="3819" max="3819" width="9.140625" style="118"/>
    <col min="3820" max="3820" width="25.5703125" style="118" customWidth="1"/>
    <col min="3821" max="3822" width="13.5703125" style="118" customWidth="1"/>
    <col min="3823" max="3823" width="13.85546875" style="118" customWidth="1"/>
    <col min="3824" max="3827" width="14.85546875" style="118" customWidth="1"/>
    <col min="3828" max="3829" width="14.28515625" style="118" customWidth="1"/>
    <col min="3830" max="4073" width="9.140625" style="118"/>
    <col min="4074" max="4074" width="5.140625" style="118" customWidth="1"/>
    <col min="4075" max="4075" width="9.140625" style="118"/>
    <col min="4076" max="4076" width="25.5703125" style="118" customWidth="1"/>
    <col min="4077" max="4078" width="13.5703125" style="118" customWidth="1"/>
    <col min="4079" max="4079" width="13.85546875" style="118" customWidth="1"/>
    <col min="4080" max="4083" width="14.85546875" style="118" customWidth="1"/>
    <col min="4084" max="4085" width="14.28515625" style="118" customWidth="1"/>
    <col min="4086" max="4329" width="9.140625" style="118"/>
    <col min="4330" max="4330" width="5.140625" style="118" customWidth="1"/>
    <col min="4331" max="4331" width="9.140625" style="118"/>
    <col min="4332" max="4332" width="25.5703125" style="118" customWidth="1"/>
    <col min="4333" max="4334" width="13.5703125" style="118" customWidth="1"/>
    <col min="4335" max="4335" width="13.85546875" style="118" customWidth="1"/>
    <col min="4336" max="4339" width="14.85546875" style="118" customWidth="1"/>
    <col min="4340" max="4341" width="14.28515625" style="118" customWidth="1"/>
    <col min="4342" max="4585" width="9.140625" style="118"/>
    <col min="4586" max="4586" width="5.140625" style="118" customWidth="1"/>
    <col min="4587" max="4587" width="9.140625" style="118"/>
    <col min="4588" max="4588" width="25.5703125" style="118" customWidth="1"/>
    <col min="4589" max="4590" width="13.5703125" style="118" customWidth="1"/>
    <col min="4591" max="4591" width="13.85546875" style="118" customWidth="1"/>
    <col min="4592" max="4595" width="14.85546875" style="118" customWidth="1"/>
    <col min="4596" max="4597" width="14.28515625" style="118" customWidth="1"/>
    <col min="4598" max="4841" width="9.140625" style="118"/>
    <col min="4842" max="4842" width="5.140625" style="118" customWidth="1"/>
    <col min="4843" max="4843" width="9.140625" style="118"/>
    <col min="4844" max="4844" width="25.5703125" style="118" customWidth="1"/>
    <col min="4845" max="4846" width="13.5703125" style="118" customWidth="1"/>
    <col min="4847" max="4847" width="13.85546875" style="118" customWidth="1"/>
    <col min="4848" max="4851" width="14.85546875" style="118" customWidth="1"/>
    <col min="4852" max="4853" width="14.28515625" style="118" customWidth="1"/>
    <col min="4854" max="5097" width="9.140625" style="118"/>
    <col min="5098" max="5098" width="5.140625" style="118" customWidth="1"/>
    <col min="5099" max="5099" width="9.140625" style="118"/>
    <col min="5100" max="5100" width="25.5703125" style="118" customWidth="1"/>
    <col min="5101" max="5102" width="13.5703125" style="118" customWidth="1"/>
    <col min="5103" max="5103" width="13.85546875" style="118" customWidth="1"/>
    <col min="5104" max="5107" width="14.85546875" style="118" customWidth="1"/>
    <col min="5108" max="5109" width="14.28515625" style="118" customWidth="1"/>
    <col min="5110" max="5353" width="9.140625" style="118"/>
    <col min="5354" max="5354" width="5.140625" style="118" customWidth="1"/>
    <col min="5355" max="5355" width="9.140625" style="118"/>
    <col min="5356" max="5356" width="25.5703125" style="118" customWidth="1"/>
    <col min="5357" max="5358" width="13.5703125" style="118" customWidth="1"/>
    <col min="5359" max="5359" width="13.85546875" style="118" customWidth="1"/>
    <col min="5360" max="5363" width="14.85546875" style="118" customWidth="1"/>
    <col min="5364" max="5365" width="14.28515625" style="118" customWidth="1"/>
    <col min="5366" max="5609" width="9.140625" style="118"/>
    <col min="5610" max="5610" width="5.140625" style="118" customWidth="1"/>
    <col min="5611" max="5611" width="9.140625" style="118"/>
    <col min="5612" max="5612" width="25.5703125" style="118" customWidth="1"/>
    <col min="5613" max="5614" width="13.5703125" style="118" customWidth="1"/>
    <col min="5615" max="5615" width="13.85546875" style="118" customWidth="1"/>
    <col min="5616" max="5619" width="14.85546875" style="118" customWidth="1"/>
    <col min="5620" max="5621" width="14.28515625" style="118" customWidth="1"/>
    <col min="5622" max="5865" width="9.140625" style="118"/>
    <col min="5866" max="5866" width="5.140625" style="118" customWidth="1"/>
    <col min="5867" max="5867" width="9.140625" style="118"/>
    <col min="5868" max="5868" width="25.5703125" style="118" customWidth="1"/>
    <col min="5869" max="5870" width="13.5703125" style="118" customWidth="1"/>
    <col min="5871" max="5871" width="13.85546875" style="118" customWidth="1"/>
    <col min="5872" max="5875" width="14.85546875" style="118" customWidth="1"/>
    <col min="5876" max="5877" width="14.28515625" style="118" customWidth="1"/>
    <col min="5878" max="6121" width="9.140625" style="118"/>
    <col min="6122" max="6122" width="5.140625" style="118" customWidth="1"/>
    <col min="6123" max="6123" width="9.140625" style="118"/>
    <col min="6124" max="6124" width="25.5703125" style="118" customWidth="1"/>
    <col min="6125" max="6126" width="13.5703125" style="118" customWidth="1"/>
    <col min="6127" max="6127" width="13.85546875" style="118" customWidth="1"/>
    <col min="6128" max="6131" width="14.85546875" style="118" customWidth="1"/>
    <col min="6132" max="6133" width="14.28515625" style="118" customWidth="1"/>
    <col min="6134" max="6377" width="9.140625" style="118"/>
    <col min="6378" max="6378" width="5.140625" style="118" customWidth="1"/>
    <col min="6379" max="6379" width="9.140625" style="118"/>
    <col min="6380" max="6380" width="25.5703125" style="118" customWidth="1"/>
    <col min="6381" max="6382" width="13.5703125" style="118" customWidth="1"/>
    <col min="6383" max="6383" width="13.85546875" style="118" customWidth="1"/>
    <col min="6384" max="6387" width="14.85546875" style="118" customWidth="1"/>
    <col min="6388" max="6389" width="14.28515625" style="118" customWidth="1"/>
    <col min="6390" max="6633" width="9.140625" style="118"/>
    <col min="6634" max="6634" width="5.140625" style="118" customWidth="1"/>
    <col min="6635" max="6635" width="9.140625" style="118"/>
    <col min="6636" max="6636" width="25.5703125" style="118" customWidth="1"/>
    <col min="6637" max="6638" width="13.5703125" style="118" customWidth="1"/>
    <col min="6639" max="6639" width="13.85546875" style="118" customWidth="1"/>
    <col min="6640" max="6643" width="14.85546875" style="118" customWidth="1"/>
    <col min="6644" max="6645" width="14.28515625" style="118" customWidth="1"/>
    <col min="6646" max="6889" width="9.140625" style="118"/>
    <col min="6890" max="6890" width="5.140625" style="118" customWidth="1"/>
    <col min="6891" max="6891" width="9.140625" style="118"/>
    <col min="6892" max="6892" width="25.5703125" style="118" customWidth="1"/>
    <col min="6893" max="6894" width="13.5703125" style="118" customWidth="1"/>
    <col min="6895" max="6895" width="13.85546875" style="118" customWidth="1"/>
    <col min="6896" max="6899" width="14.85546875" style="118" customWidth="1"/>
    <col min="6900" max="6901" width="14.28515625" style="118" customWidth="1"/>
    <col min="6902" max="7145" width="9.140625" style="118"/>
    <col min="7146" max="7146" width="5.140625" style="118" customWidth="1"/>
    <col min="7147" max="7147" width="9.140625" style="118"/>
    <col min="7148" max="7148" width="25.5703125" style="118" customWidth="1"/>
    <col min="7149" max="7150" width="13.5703125" style="118" customWidth="1"/>
    <col min="7151" max="7151" width="13.85546875" style="118" customWidth="1"/>
    <col min="7152" max="7155" width="14.85546875" style="118" customWidth="1"/>
    <col min="7156" max="7157" width="14.28515625" style="118" customWidth="1"/>
    <col min="7158" max="7401" width="9.140625" style="118"/>
    <col min="7402" max="7402" width="5.140625" style="118" customWidth="1"/>
    <col min="7403" max="7403" width="9.140625" style="118"/>
    <col min="7404" max="7404" width="25.5703125" style="118" customWidth="1"/>
    <col min="7405" max="7406" width="13.5703125" style="118" customWidth="1"/>
    <col min="7407" max="7407" width="13.85546875" style="118" customWidth="1"/>
    <col min="7408" max="7411" width="14.85546875" style="118" customWidth="1"/>
    <col min="7412" max="7413" width="14.28515625" style="118" customWidth="1"/>
    <col min="7414" max="7657" width="9.140625" style="118"/>
    <col min="7658" max="7658" width="5.140625" style="118" customWidth="1"/>
    <col min="7659" max="7659" width="9.140625" style="118"/>
    <col min="7660" max="7660" width="25.5703125" style="118" customWidth="1"/>
    <col min="7661" max="7662" width="13.5703125" style="118" customWidth="1"/>
    <col min="7663" max="7663" width="13.85546875" style="118" customWidth="1"/>
    <col min="7664" max="7667" width="14.85546875" style="118" customWidth="1"/>
    <col min="7668" max="7669" width="14.28515625" style="118" customWidth="1"/>
    <col min="7670" max="7913" width="9.140625" style="118"/>
    <col min="7914" max="7914" width="5.140625" style="118" customWidth="1"/>
    <col min="7915" max="7915" width="9.140625" style="118"/>
    <col min="7916" max="7916" width="25.5703125" style="118" customWidth="1"/>
    <col min="7917" max="7918" width="13.5703125" style="118" customWidth="1"/>
    <col min="7919" max="7919" width="13.85546875" style="118" customWidth="1"/>
    <col min="7920" max="7923" width="14.85546875" style="118" customWidth="1"/>
    <col min="7924" max="7925" width="14.28515625" style="118" customWidth="1"/>
    <col min="7926" max="8169" width="9.140625" style="118"/>
    <col min="8170" max="8170" width="5.140625" style="118" customWidth="1"/>
    <col min="8171" max="8171" width="9.140625" style="118"/>
    <col min="8172" max="8172" width="25.5703125" style="118" customWidth="1"/>
    <col min="8173" max="8174" width="13.5703125" style="118" customWidth="1"/>
    <col min="8175" max="8175" width="13.85546875" style="118" customWidth="1"/>
    <col min="8176" max="8179" width="14.85546875" style="118" customWidth="1"/>
    <col min="8180" max="8181" width="14.28515625" style="118" customWidth="1"/>
    <col min="8182" max="8425" width="9.140625" style="118"/>
    <col min="8426" max="8426" width="5.140625" style="118" customWidth="1"/>
    <col min="8427" max="8427" width="9.140625" style="118"/>
    <col min="8428" max="8428" width="25.5703125" style="118" customWidth="1"/>
    <col min="8429" max="8430" width="13.5703125" style="118" customWidth="1"/>
    <col min="8431" max="8431" width="13.85546875" style="118" customWidth="1"/>
    <col min="8432" max="8435" width="14.85546875" style="118" customWidth="1"/>
    <col min="8436" max="8437" width="14.28515625" style="118" customWidth="1"/>
    <col min="8438" max="8681" width="9.140625" style="118"/>
    <col min="8682" max="8682" width="5.140625" style="118" customWidth="1"/>
    <col min="8683" max="8683" width="9.140625" style="118"/>
    <col min="8684" max="8684" width="25.5703125" style="118" customWidth="1"/>
    <col min="8685" max="8686" width="13.5703125" style="118" customWidth="1"/>
    <col min="8687" max="8687" width="13.85546875" style="118" customWidth="1"/>
    <col min="8688" max="8691" width="14.85546875" style="118" customWidth="1"/>
    <col min="8692" max="8693" width="14.28515625" style="118" customWidth="1"/>
    <col min="8694" max="8937" width="9.140625" style="118"/>
    <col min="8938" max="8938" width="5.140625" style="118" customWidth="1"/>
    <col min="8939" max="8939" width="9.140625" style="118"/>
    <col min="8940" max="8940" width="25.5703125" style="118" customWidth="1"/>
    <col min="8941" max="8942" width="13.5703125" style="118" customWidth="1"/>
    <col min="8943" max="8943" width="13.85546875" style="118" customWidth="1"/>
    <col min="8944" max="8947" width="14.85546875" style="118" customWidth="1"/>
    <col min="8948" max="8949" width="14.28515625" style="118" customWidth="1"/>
    <col min="8950" max="9193" width="9.140625" style="118"/>
    <col min="9194" max="9194" width="5.140625" style="118" customWidth="1"/>
    <col min="9195" max="9195" width="9.140625" style="118"/>
    <col min="9196" max="9196" width="25.5703125" style="118" customWidth="1"/>
    <col min="9197" max="9198" width="13.5703125" style="118" customWidth="1"/>
    <col min="9199" max="9199" width="13.85546875" style="118" customWidth="1"/>
    <col min="9200" max="9203" width="14.85546875" style="118" customWidth="1"/>
    <col min="9204" max="9205" width="14.28515625" style="118" customWidth="1"/>
    <col min="9206" max="9449" width="9.140625" style="118"/>
    <col min="9450" max="9450" width="5.140625" style="118" customWidth="1"/>
    <col min="9451" max="9451" width="9.140625" style="118"/>
    <col min="9452" max="9452" width="25.5703125" style="118" customWidth="1"/>
    <col min="9453" max="9454" width="13.5703125" style="118" customWidth="1"/>
    <col min="9455" max="9455" width="13.85546875" style="118" customWidth="1"/>
    <col min="9456" max="9459" width="14.85546875" style="118" customWidth="1"/>
    <col min="9460" max="9461" width="14.28515625" style="118" customWidth="1"/>
    <col min="9462" max="9705" width="9.140625" style="118"/>
    <col min="9706" max="9706" width="5.140625" style="118" customWidth="1"/>
    <col min="9707" max="9707" width="9.140625" style="118"/>
    <col min="9708" max="9708" width="25.5703125" style="118" customWidth="1"/>
    <col min="9709" max="9710" width="13.5703125" style="118" customWidth="1"/>
    <col min="9711" max="9711" width="13.85546875" style="118" customWidth="1"/>
    <col min="9712" max="9715" width="14.85546875" style="118" customWidth="1"/>
    <col min="9716" max="9717" width="14.28515625" style="118" customWidth="1"/>
    <col min="9718" max="9961" width="9.140625" style="118"/>
    <col min="9962" max="9962" width="5.140625" style="118" customWidth="1"/>
    <col min="9963" max="9963" width="9.140625" style="118"/>
    <col min="9964" max="9964" width="25.5703125" style="118" customWidth="1"/>
    <col min="9965" max="9966" width="13.5703125" style="118" customWidth="1"/>
    <col min="9967" max="9967" width="13.85546875" style="118" customWidth="1"/>
    <col min="9968" max="9971" width="14.85546875" style="118" customWidth="1"/>
    <col min="9972" max="9973" width="14.28515625" style="118" customWidth="1"/>
    <col min="9974" max="10217" width="9.140625" style="118"/>
    <col min="10218" max="10218" width="5.140625" style="118" customWidth="1"/>
    <col min="10219" max="10219" width="9.140625" style="118"/>
    <col min="10220" max="10220" width="25.5703125" style="118" customWidth="1"/>
    <col min="10221" max="10222" width="13.5703125" style="118" customWidth="1"/>
    <col min="10223" max="10223" width="13.85546875" style="118" customWidth="1"/>
    <col min="10224" max="10227" width="14.85546875" style="118" customWidth="1"/>
    <col min="10228" max="10229" width="14.28515625" style="118" customWidth="1"/>
    <col min="10230" max="10473" width="9.140625" style="118"/>
    <col min="10474" max="10474" width="5.140625" style="118" customWidth="1"/>
    <col min="10475" max="10475" width="9.140625" style="118"/>
    <col min="10476" max="10476" width="25.5703125" style="118" customWidth="1"/>
    <col min="10477" max="10478" width="13.5703125" style="118" customWidth="1"/>
    <col min="10479" max="10479" width="13.85546875" style="118" customWidth="1"/>
    <col min="10480" max="10483" width="14.85546875" style="118" customWidth="1"/>
    <col min="10484" max="10485" width="14.28515625" style="118" customWidth="1"/>
    <col min="10486" max="10729" width="9.140625" style="118"/>
    <col min="10730" max="10730" width="5.140625" style="118" customWidth="1"/>
    <col min="10731" max="10731" width="9.140625" style="118"/>
    <col min="10732" max="10732" width="25.5703125" style="118" customWidth="1"/>
    <col min="10733" max="10734" width="13.5703125" style="118" customWidth="1"/>
    <col min="10735" max="10735" width="13.85546875" style="118" customWidth="1"/>
    <col min="10736" max="10739" width="14.85546875" style="118" customWidth="1"/>
    <col min="10740" max="10741" width="14.28515625" style="118" customWidth="1"/>
    <col min="10742" max="10985" width="9.140625" style="118"/>
    <col min="10986" max="10986" width="5.140625" style="118" customWidth="1"/>
    <col min="10987" max="10987" width="9.140625" style="118"/>
    <col min="10988" max="10988" width="25.5703125" style="118" customWidth="1"/>
    <col min="10989" max="10990" width="13.5703125" style="118" customWidth="1"/>
    <col min="10991" max="10991" width="13.85546875" style="118" customWidth="1"/>
    <col min="10992" max="10995" width="14.85546875" style="118" customWidth="1"/>
    <col min="10996" max="10997" width="14.28515625" style="118" customWidth="1"/>
    <col min="10998" max="11241" width="9.140625" style="118"/>
    <col min="11242" max="11242" width="5.140625" style="118" customWidth="1"/>
    <col min="11243" max="11243" width="9.140625" style="118"/>
    <col min="11244" max="11244" width="25.5703125" style="118" customWidth="1"/>
    <col min="11245" max="11246" width="13.5703125" style="118" customWidth="1"/>
    <col min="11247" max="11247" width="13.85546875" style="118" customWidth="1"/>
    <col min="11248" max="11251" width="14.85546875" style="118" customWidth="1"/>
    <col min="11252" max="11253" width="14.28515625" style="118" customWidth="1"/>
    <col min="11254" max="11497" width="9.140625" style="118"/>
    <col min="11498" max="11498" width="5.140625" style="118" customWidth="1"/>
    <col min="11499" max="11499" width="9.140625" style="118"/>
    <col min="11500" max="11500" width="25.5703125" style="118" customWidth="1"/>
    <col min="11501" max="11502" width="13.5703125" style="118" customWidth="1"/>
    <col min="11503" max="11503" width="13.85546875" style="118" customWidth="1"/>
    <col min="11504" max="11507" width="14.85546875" style="118" customWidth="1"/>
    <col min="11508" max="11509" width="14.28515625" style="118" customWidth="1"/>
    <col min="11510" max="11753" width="9.140625" style="118"/>
    <col min="11754" max="11754" width="5.140625" style="118" customWidth="1"/>
    <col min="11755" max="11755" width="9.140625" style="118"/>
    <col min="11756" max="11756" width="25.5703125" style="118" customWidth="1"/>
    <col min="11757" max="11758" width="13.5703125" style="118" customWidth="1"/>
    <col min="11759" max="11759" width="13.85546875" style="118" customWidth="1"/>
    <col min="11760" max="11763" width="14.85546875" style="118" customWidth="1"/>
    <col min="11764" max="11765" width="14.28515625" style="118" customWidth="1"/>
    <col min="11766" max="12009" width="9.140625" style="118"/>
    <col min="12010" max="12010" width="5.140625" style="118" customWidth="1"/>
    <col min="12011" max="12011" width="9.140625" style="118"/>
    <col min="12012" max="12012" width="25.5703125" style="118" customWidth="1"/>
    <col min="12013" max="12014" width="13.5703125" style="118" customWidth="1"/>
    <col min="12015" max="12015" width="13.85546875" style="118" customWidth="1"/>
    <col min="12016" max="12019" width="14.85546875" style="118" customWidth="1"/>
    <col min="12020" max="12021" width="14.28515625" style="118" customWidth="1"/>
    <col min="12022" max="12265" width="9.140625" style="118"/>
    <col min="12266" max="12266" width="5.140625" style="118" customWidth="1"/>
    <col min="12267" max="12267" width="9.140625" style="118"/>
    <col min="12268" max="12268" width="25.5703125" style="118" customWidth="1"/>
    <col min="12269" max="12270" width="13.5703125" style="118" customWidth="1"/>
    <col min="12271" max="12271" width="13.85546875" style="118" customWidth="1"/>
    <col min="12272" max="12275" width="14.85546875" style="118" customWidth="1"/>
    <col min="12276" max="12277" width="14.28515625" style="118" customWidth="1"/>
    <col min="12278" max="12521" width="9.140625" style="118"/>
    <col min="12522" max="12522" width="5.140625" style="118" customWidth="1"/>
    <col min="12523" max="12523" width="9.140625" style="118"/>
    <col min="12524" max="12524" width="25.5703125" style="118" customWidth="1"/>
    <col min="12525" max="12526" width="13.5703125" style="118" customWidth="1"/>
    <col min="12527" max="12527" width="13.85546875" style="118" customWidth="1"/>
    <col min="12528" max="12531" width="14.85546875" style="118" customWidth="1"/>
    <col min="12532" max="12533" width="14.28515625" style="118" customWidth="1"/>
    <col min="12534" max="12777" width="9.140625" style="118"/>
    <col min="12778" max="12778" width="5.140625" style="118" customWidth="1"/>
    <col min="12779" max="12779" width="9.140625" style="118"/>
    <col min="12780" max="12780" width="25.5703125" style="118" customWidth="1"/>
    <col min="12781" max="12782" width="13.5703125" style="118" customWidth="1"/>
    <col min="12783" max="12783" width="13.85546875" style="118" customWidth="1"/>
    <col min="12784" max="12787" width="14.85546875" style="118" customWidth="1"/>
    <col min="12788" max="12789" width="14.28515625" style="118" customWidth="1"/>
    <col min="12790" max="13033" width="9.140625" style="118"/>
    <col min="13034" max="13034" width="5.140625" style="118" customWidth="1"/>
    <col min="13035" max="13035" width="9.140625" style="118"/>
    <col min="13036" max="13036" width="25.5703125" style="118" customWidth="1"/>
    <col min="13037" max="13038" width="13.5703125" style="118" customWidth="1"/>
    <col min="13039" max="13039" width="13.85546875" style="118" customWidth="1"/>
    <col min="13040" max="13043" width="14.85546875" style="118" customWidth="1"/>
    <col min="13044" max="13045" width="14.28515625" style="118" customWidth="1"/>
    <col min="13046" max="13289" width="9.140625" style="118"/>
    <col min="13290" max="13290" width="5.140625" style="118" customWidth="1"/>
    <col min="13291" max="13291" width="9.140625" style="118"/>
    <col min="13292" max="13292" width="25.5703125" style="118" customWidth="1"/>
    <col min="13293" max="13294" width="13.5703125" style="118" customWidth="1"/>
    <col min="13295" max="13295" width="13.85546875" style="118" customWidth="1"/>
    <col min="13296" max="13299" width="14.85546875" style="118" customWidth="1"/>
    <col min="13300" max="13301" width="14.28515625" style="118" customWidth="1"/>
    <col min="13302" max="13545" width="9.140625" style="118"/>
    <col min="13546" max="13546" width="5.140625" style="118" customWidth="1"/>
    <col min="13547" max="13547" width="9.140625" style="118"/>
    <col min="13548" max="13548" width="25.5703125" style="118" customWidth="1"/>
    <col min="13549" max="13550" width="13.5703125" style="118" customWidth="1"/>
    <col min="13551" max="13551" width="13.85546875" style="118" customWidth="1"/>
    <col min="13552" max="13555" width="14.85546875" style="118" customWidth="1"/>
    <col min="13556" max="13557" width="14.28515625" style="118" customWidth="1"/>
    <col min="13558" max="13801" width="9.140625" style="118"/>
    <col min="13802" max="13802" width="5.140625" style="118" customWidth="1"/>
    <col min="13803" max="13803" width="9.140625" style="118"/>
    <col min="13804" max="13804" width="25.5703125" style="118" customWidth="1"/>
    <col min="13805" max="13806" width="13.5703125" style="118" customWidth="1"/>
    <col min="13807" max="13807" width="13.85546875" style="118" customWidth="1"/>
    <col min="13808" max="13811" width="14.85546875" style="118" customWidth="1"/>
    <col min="13812" max="13813" width="14.28515625" style="118" customWidth="1"/>
    <col min="13814" max="14057" width="9.140625" style="118"/>
    <col min="14058" max="14058" width="5.140625" style="118" customWidth="1"/>
    <col min="14059" max="14059" width="9.140625" style="118"/>
    <col min="14060" max="14060" width="25.5703125" style="118" customWidth="1"/>
    <col min="14061" max="14062" width="13.5703125" style="118" customWidth="1"/>
    <col min="14063" max="14063" width="13.85546875" style="118" customWidth="1"/>
    <col min="14064" max="14067" width="14.85546875" style="118" customWidth="1"/>
    <col min="14068" max="14069" width="14.28515625" style="118" customWidth="1"/>
    <col min="14070" max="14313" width="9.140625" style="118"/>
    <col min="14314" max="14314" width="5.140625" style="118" customWidth="1"/>
    <col min="14315" max="14315" width="9.140625" style="118"/>
    <col min="14316" max="14316" width="25.5703125" style="118" customWidth="1"/>
    <col min="14317" max="14318" width="13.5703125" style="118" customWidth="1"/>
    <col min="14319" max="14319" width="13.85546875" style="118" customWidth="1"/>
    <col min="14320" max="14323" width="14.85546875" style="118" customWidth="1"/>
    <col min="14324" max="14325" width="14.28515625" style="118" customWidth="1"/>
    <col min="14326" max="14569" width="9.140625" style="118"/>
    <col min="14570" max="14570" width="5.140625" style="118" customWidth="1"/>
    <col min="14571" max="14571" width="9.140625" style="118"/>
    <col min="14572" max="14572" width="25.5703125" style="118" customWidth="1"/>
    <col min="14573" max="14574" width="13.5703125" style="118" customWidth="1"/>
    <col min="14575" max="14575" width="13.85546875" style="118" customWidth="1"/>
    <col min="14576" max="14579" width="14.85546875" style="118" customWidth="1"/>
    <col min="14580" max="14581" width="14.28515625" style="118" customWidth="1"/>
    <col min="14582" max="14825" width="9.140625" style="118"/>
    <col min="14826" max="14826" width="5.140625" style="118" customWidth="1"/>
    <col min="14827" max="14827" width="9.140625" style="118"/>
    <col min="14828" max="14828" width="25.5703125" style="118" customWidth="1"/>
    <col min="14829" max="14830" width="13.5703125" style="118" customWidth="1"/>
    <col min="14831" max="14831" width="13.85546875" style="118" customWidth="1"/>
    <col min="14832" max="14835" width="14.85546875" style="118" customWidth="1"/>
    <col min="14836" max="14837" width="14.28515625" style="118" customWidth="1"/>
    <col min="14838" max="15081" width="9.140625" style="118"/>
    <col min="15082" max="15082" width="5.140625" style="118" customWidth="1"/>
    <col min="15083" max="15083" width="9.140625" style="118"/>
    <col min="15084" max="15084" width="25.5703125" style="118" customWidth="1"/>
    <col min="15085" max="15086" width="13.5703125" style="118" customWidth="1"/>
    <col min="15087" max="15087" width="13.85546875" style="118" customWidth="1"/>
    <col min="15088" max="15091" width="14.85546875" style="118" customWidth="1"/>
    <col min="15092" max="15093" width="14.28515625" style="118" customWidth="1"/>
    <col min="15094" max="15337" width="9.140625" style="118"/>
    <col min="15338" max="15338" width="5.140625" style="118" customWidth="1"/>
    <col min="15339" max="15339" width="9.140625" style="118"/>
    <col min="15340" max="15340" width="25.5703125" style="118" customWidth="1"/>
    <col min="15341" max="15342" width="13.5703125" style="118" customWidth="1"/>
    <col min="15343" max="15343" width="13.85546875" style="118" customWidth="1"/>
    <col min="15344" max="15347" width="14.85546875" style="118" customWidth="1"/>
    <col min="15348" max="15349" width="14.28515625" style="118" customWidth="1"/>
    <col min="15350" max="15593" width="9.140625" style="118"/>
    <col min="15594" max="15594" width="5.140625" style="118" customWidth="1"/>
    <col min="15595" max="15595" width="9.140625" style="118"/>
    <col min="15596" max="15596" width="25.5703125" style="118" customWidth="1"/>
    <col min="15597" max="15598" width="13.5703125" style="118" customWidth="1"/>
    <col min="15599" max="15599" width="13.85546875" style="118" customWidth="1"/>
    <col min="15600" max="15603" width="14.85546875" style="118" customWidth="1"/>
    <col min="15604" max="15605" width="14.28515625" style="118" customWidth="1"/>
    <col min="15606" max="15849" width="9.140625" style="118"/>
    <col min="15850" max="15850" width="5.140625" style="118" customWidth="1"/>
    <col min="15851" max="15851" width="9.140625" style="118"/>
    <col min="15852" max="15852" width="25.5703125" style="118" customWidth="1"/>
    <col min="15853" max="15854" width="13.5703125" style="118" customWidth="1"/>
    <col min="15855" max="15855" width="13.85546875" style="118" customWidth="1"/>
    <col min="15856" max="15859" width="14.85546875" style="118" customWidth="1"/>
    <col min="15860" max="15861" width="14.28515625" style="118" customWidth="1"/>
    <col min="15862" max="16105" width="9.140625" style="118"/>
    <col min="16106" max="16106" width="5.140625" style="118" customWidth="1"/>
    <col min="16107" max="16107" width="9.140625" style="118"/>
    <col min="16108" max="16108" width="25.5703125" style="118" customWidth="1"/>
    <col min="16109" max="16110" width="13.5703125" style="118" customWidth="1"/>
    <col min="16111" max="16111" width="13.85546875" style="118" customWidth="1"/>
    <col min="16112" max="16115" width="14.85546875" style="118" customWidth="1"/>
    <col min="16116" max="16117" width="14.28515625" style="118" customWidth="1"/>
    <col min="16118" max="16384" width="9.140625" style="118"/>
  </cols>
  <sheetData>
    <row r="1" spans="1:17">
      <c r="A1" s="175"/>
      <c r="B1" s="176"/>
      <c r="C1" s="175"/>
      <c r="D1" s="175"/>
      <c r="E1" s="175"/>
      <c r="F1" s="175"/>
      <c r="G1" s="175"/>
      <c r="H1" s="254"/>
      <c r="I1" s="175"/>
      <c r="J1" s="175"/>
      <c r="K1" s="175"/>
      <c r="L1" s="175"/>
      <c r="M1" s="175"/>
      <c r="N1" s="175"/>
    </row>
    <row r="2" spans="1:17" ht="27">
      <c r="A2" s="295" t="s">
        <v>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177" t="s">
        <v>188</v>
      </c>
    </row>
    <row r="3" spans="1:17" ht="27">
      <c r="A3" s="295" t="s">
        <v>207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178"/>
    </row>
    <row r="4" spans="1:17" ht="21" thickBot="1">
      <c r="A4" s="175"/>
      <c r="B4" s="176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8"/>
    </row>
    <row r="5" spans="1:17" ht="19.5" thickBot="1">
      <c r="A5" s="296" t="s">
        <v>1</v>
      </c>
      <c r="B5" s="298" t="s">
        <v>2</v>
      </c>
      <c r="C5" s="300" t="s">
        <v>208</v>
      </c>
      <c r="D5" s="301"/>
      <c r="E5" s="301"/>
      <c r="F5" s="302"/>
      <c r="G5" s="300" t="s">
        <v>170</v>
      </c>
      <c r="H5" s="301"/>
      <c r="I5" s="301"/>
      <c r="J5" s="301"/>
      <c r="K5" s="300" t="s">
        <v>209</v>
      </c>
      <c r="L5" s="301"/>
      <c r="M5" s="301"/>
      <c r="N5" s="302"/>
      <c r="O5" s="291" t="s">
        <v>216</v>
      </c>
    </row>
    <row r="6" spans="1:17" ht="53.25" customHeight="1" thickBot="1">
      <c r="A6" s="297"/>
      <c r="B6" s="299"/>
      <c r="C6" s="179" t="s">
        <v>210</v>
      </c>
      <c r="D6" s="179" t="s">
        <v>214</v>
      </c>
      <c r="E6" s="179" t="s">
        <v>185</v>
      </c>
      <c r="F6" s="179" t="s">
        <v>3</v>
      </c>
      <c r="G6" s="179" t="s">
        <v>211</v>
      </c>
      <c r="H6" s="179" t="s">
        <v>215</v>
      </c>
      <c r="I6" s="179" t="s">
        <v>185</v>
      </c>
      <c r="J6" s="179" t="s">
        <v>3</v>
      </c>
      <c r="K6" s="179" t="s">
        <v>210</v>
      </c>
      <c r="L6" s="179" t="s">
        <v>214</v>
      </c>
      <c r="M6" s="179" t="s">
        <v>190</v>
      </c>
      <c r="N6" s="179" t="s">
        <v>3</v>
      </c>
      <c r="O6" s="292"/>
    </row>
    <row r="7" spans="1:17" s="187" customFormat="1" ht="21" thickBot="1">
      <c r="A7" s="180"/>
      <c r="B7" s="181">
        <v>1</v>
      </c>
      <c r="C7" s="182">
        <v>2</v>
      </c>
      <c r="D7" s="182">
        <v>3</v>
      </c>
      <c r="E7" s="182" t="s">
        <v>4</v>
      </c>
      <c r="F7" s="183" t="s">
        <v>5</v>
      </c>
      <c r="G7" s="183">
        <v>6</v>
      </c>
      <c r="H7" s="183">
        <v>7</v>
      </c>
      <c r="I7" s="184" t="s">
        <v>6</v>
      </c>
      <c r="J7" s="183" t="s">
        <v>7</v>
      </c>
      <c r="K7" s="182">
        <v>10</v>
      </c>
      <c r="L7" s="182">
        <v>11</v>
      </c>
      <c r="M7" s="185" t="s">
        <v>26</v>
      </c>
      <c r="N7" s="182" t="s">
        <v>27</v>
      </c>
      <c r="O7" s="186">
        <v>14</v>
      </c>
    </row>
    <row r="8" spans="1:17">
      <c r="A8" s="188" t="s">
        <v>8</v>
      </c>
      <c r="B8" s="189" t="s">
        <v>28</v>
      </c>
      <c r="C8" s="190">
        <v>118328.1</v>
      </c>
      <c r="D8" s="190">
        <v>141701.79999999999</v>
      </c>
      <c r="E8" s="190">
        <f>D8-C8</f>
        <v>23373.699999999983</v>
      </c>
      <c r="F8" s="191">
        <f>D8/C8*100</f>
        <v>119.75329613168806</v>
      </c>
      <c r="G8" s="117">
        <v>117469.6</v>
      </c>
      <c r="H8" s="117">
        <v>123261.5</v>
      </c>
      <c r="I8" s="117">
        <f>H8-G8</f>
        <v>5791.8999999999942</v>
      </c>
      <c r="J8" s="126">
        <f>H8/G8*100</f>
        <v>104.93055224500635</v>
      </c>
      <c r="K8" s="190">
        <v>383.7</v>
      </c>
      <c r="L8" s="190">
        <v>410.9</v>
      </c>
      <c r="M8" s="190">
        <f>L8-K8</f>
        <v>27.199999999999989</v>
      </c>
      <c r="N8" s="191">
        <f>L8/K8*100</f>
        <v>107.08887151420382</v>
      </c>
      <c r="O8" s="192">
        <f>L8*100/D8</f>
        <v>0.28997514498757254</v>
      </c>
    </row>
    <row r="9" spans="1:17" ht="21" thickBot="1">
      <c r="A9" s="193" t="s">
        <v>9</v>
      </c>
      <c r="B9" s="194" t="s">
        <v>29</v>
      </c>
      <c r="C9" s="195">
        <v>357516.337</v>
      </c>
      <c r="D9" s="195">
        <v>393693</v>
      </c>
      <c r="E9" s="195">
        <f t="shared" ref="E9:E72" si="0">D9-C9</f>
        <v>36176.663</v>
      </c>
      <c r="F9" s="196">
        <f t="shared" ref="F9:F72" si="1">D9/C9*100</f>
        <v>110.11888388194131</v>
      </c>
      <c r="G9" s="197">
        <v>357982.82799999998</v>
      </c>
      <c r="H9" s="197">
        <v>389227.1</v>
      </c>
      <c r="I9" s="195">
        <f t="shared" ref="I9:I72" si="2">H9-G9</f>
        <v>31244.271999999997</v>
      </c>
      <c r="J9" s="198">
        <f t="shared" ref="J9:J72" si="3">H9/G9*100</f>
        <v>108.72786892448372</v>
      </c>
      <c r="K9" s="197">
        <v>-19115.131000000001</v>
      </c>
      <c r="L9" s="197">
        <v>-14573.6</v>
      </c>
      <c r="M9" s="195">
        <f t="shared" ref="M9:M72" si="4">L9-K9</f>
        <v>4541.5310000000009</v>
      </c>
      <c r="N9" s="196">
        <f t="shared" ref="N9:N72" si="5">L9/K9*100</f>
        <v>76.241172503604602</v>
      </c>
      <c r="O9" s="199">
        <f t="shared" ref="O9:O72" si="6">L9*100/D9</f>
        <v>-3.7017676209635426</v>
      </c>
    </row>
    <row r="10" spans="1:17" s="205" customFormat="1" ht="21" thickBot="1">
      <c r="A10" s="293" t="s">
        <v>30</v>
      </c>
      <c r="B10" s="294"/>
      <c r="C10" s="245">
        <f>SUM(C8:C9)</f>
        <v>475844.43700000003</v>
      </c>
      <c r="D10" s="245">
        <f>SUM(D8:D9)</f>
        <v>535394.80000000005</v>
      </c>
      <c r="E10" s="246">
        <f t="shared" si="0"/>
        <v>59550.363000000012</v>
      </c>
      <c r="F10" s="247">
        <f t="shared" si="1"/>
        <v>112.51467041948418</v>
      </c>
      <c r="G10" s="245">
        <f>SUM(G8:G9)</f>
        <v>475452.42799999996</v>
      </c>
      <c r="H10" s="245">
        <f>SUM(H8:H9)</f>
        <v>512488.6</v>
      </c>
      <c r="I10" s="246">
        <f t="shared" si="2"/>
        <v>37036.17200000002</v>
      </c>
      <c r="J10" s="248">
        <f t="shared" si="3"/>
        <v>107.78966933785435</v>
      </c>
      <c r="K10" s="245">
        <f t="shared" ref="K10:L10" si="7">SUM(K8:K9)</f>
        <v>-18731.431</v>
      </c>
      <c r="L10" s="245">
        <f t="shared" si="7"/>
        <v>-14162.7</v>
      </c>
      <c r="M10" s="246">
        <f t="shared" si="4"/>
        <v>4568.7309999999998</v>
      </c>
      <c r="N10" s="247">
        <f t="shared" si="5"/>
        <v>75.6092793978207</v>
      </c>
      <c r="O10" s="222">
        <f t="shared" si="6"/>
        <v>-2.6452815753907206</v>
      </c>
    </row>
    <row r="11" spans="1:17" ht="40.5">
      <c r="A11" s="125" t="s">
        <v>10</v>
      </c>
      <c r="B11" s="244" t="s">
        <v>31</v>
      </c>
      <c r="C11" s="119">
        <v>15847.268</v>
      </c>
      <c r="D11" s="119">
        <v>14602.1</v>
      </c>
      <c r="E11" s="117">
        <f t="shared" si="0"/>
        <v>-1245.1679999999997</v>
      </c>
      <c r="F11" s="117">
        <f t="shared" si="1"/>
        <v>92.142696141694586</v>
      </c>
      <c r="G11" s="119">
        <v>12565.525</v>
      </c>
      <c r="H11" s="119">
        <v>11940</v>
      </c>
      <c r="I11" s="117">
        <f t="shared" si="2"/>
        <v>-625.52499999999964</v>
      </c>
      <c r="J11" s="117">
        <f t="shared" si="3"/>
        <v>95.021895225229343</v>
      </c>
      <c r="K11" s="119">
        <v>278.38600000000002</v>
      </c>
      <c r="L11" s="119">
        <v>282.10000000000002</v>
      </c>
      <c r="M11" s="117">
        <f t="shared" si="4"/>
        <v>3.7139999999999986</v>
      </c>
      <c r="N11" s="117">
        <f t="shared" si="5"/>
        <v>101.33411881344607</v>
      </c>
      <c r="O11" s="119">
        <f t="shared" si="6"/>
        <v>1.9319139027948038</v>
      </c>
      <c r="Q11" s="255"/>
    </row>
    <row r="12" spans="1:17" ht="40.5">
      <c r="A12" s="123" t="s">
        <v>11</v>
      </c>
      <c r="B12" s="124" t="s">
        <v>32</v>
      </c>
      <c r="C12" s="117">
        <f>59747.624</f>
        <v>59747.624000000003</v>
      </c>
      <c r="D12" s="117">
        <v>68236.3</v>
      </c>
      <c r="E12" s="117">
        <f t="shared" si="0"/>
        <v>8488.6759999999995</v>
      </c>
      <c r="F12" s="121">
        <f t="shared" si="1"/>
        <v>114.20755409453605</v>
      </c>
      <c r="G12" s="117">
        <f>50907.107</f>
        <v>50907.107000000004</v>
      </c>
      <c r="H12" s="117">
        <v>58452.1</v>
      </c>
      <c r="I12" s="117">
        <f t="shared" si="2"/>
        <v>7544.9929999999949</v>
      </c>
      <c r="J12" s="126">
        <f t="shared" si="3"/>
        <v>114.82109953724142</v>
      </c>
      <c r="K12" s="117">
        <f>1680.305</f>
        <v>1680.3050000000001</v>
      </c>
      <c r="L12" s="117">
        <v>2404.6999999999998</v>
      </c>
      <c r="M12" s="117">
        <f t="shared" si="4"/>
        <v>724.39499999999975</v>
      </c>
      <c r="N12" s="121">
        <f t="shared" si="5"/>
        <v>143.11092331451729</v>
      </c>
      <c r="O12" s="127">
        <f t="shared" si="6"/>
        <v>3.5240773605837354</v>
      </c>
      <c r="Q12" s="255"/>
    </row>
    <row r="13" spans="1:17" ht="40.5">
      <c r="A13" s="125" t="s">
        <v>12</v>
      </c>
      <c r="B13" s="124" t="s">
        <v>33</v>
      </c>
      <c r="C13" s="117">
        <f>98134.671</f>
        <v>98134.671000000002</v>
      </c>
      <c r="D13" s="117">
        <v>109195.2</v>
      </c>
      <c r="E13" s="117">
        <f t="shared" si="0"/>
        <v>11060.528999999995</v>
      </c>
      <c r="F13" s="121">
        <f t="shared" si="1"/>
        <v>111.27076586418676</v>
      </c>
      <c r="G13" s="117">
        <f>95711.06</f>
        <v>95711.06</v>
      </c>
      <c r="H13" s="117">
        <v>104506.1</v>
      </c>
      <c r="I13" s="117">
        <f t="shared" si="2"/>
        <v>8795.0400000000081</v>
      </c>
      <c r="J13" s="126">
        <f t="shared" si="3"/>
        <v>109.18915744951525</v>
      </c>
      <c r="K13" s="117">
        <f>-17111.816</f>
        <v>-17111.815999999999</v>
      </c>
      <c r="L13" s="117">
        <v>-9168.2999999999993</v>
      </c>
      <c r="M13" s="117">
        <f t="shared" si="4"/>
        <v>7943.5159999999996</v>
      </c>
      <c r="N13" s="121">
        <f t="shared" si="5"/>
        <v>53.578766859110679</v>
      </c>
      <c r="O13" s="127">
        <f t="shared" si="6"/>
        <v>-8.3962481867334819</v>
      </c>
      <c r="Q13" s="255"/>
    </row>
    <row r="14" spans="1:17">
      <c r="A14" s="123" t="s">
        <v>13</v>
      </c>
      <c r="B14" s="124" t="s">
        <v>34</v>
      </c>
      <c r="C14" s="117">
        <f>100562.882</f>
        <v>100562.882</v>
      </c>
      <c r="D14" s="117">
        <v>124817</v>
      </c>
      <c r="E14" s="117">
        <f t="shared" si="0"/>
        <v>24254.118000000002</v>
      </c>
      <c r="F14" s="121">
        <f t="shared" si="1"/>
        <v>124.118360092345</v>
      </c>
      <c r="G14" s="117">
        <f>69970.951</f>
        <v>69970.951000000001</v>
      </c>
      <c r="H14" s="117">
        <v>85714.9</v>
      </c>
      <c r="I14" s="117">
        <f t="shared" si="2"/>
        <v>15743.948999999993</v>
      </c>
      <c r="J14" s="126">
        <f t="shared" si="3"/>
        <v>122.50069318051715</v>
      </c>
      <c r="K14" s="117">
        <f>4221.106</f>
        <v>4221.1059999999998</v>
      </c>
      <c r="L14" s="117">
        <v>5345.6</v>
      </c>
      <c r="M14" s="117">
        <f t="shared" si="4"/>
        <v>1124.4940000000006</v>
      </c>
      <c r="N14" s="121">
        <f t="shared" si="5"/>
        <v>126.6397953522134</v>
      </c>
      <c r="O14" s="127">
        <f t="shared" si="6"/>
        <v>4.2827499459208278</v>
      </c>
    </row>
    <row r="15" spans="1:17" ht="40.5">
      <c r="A15" s="125" t="s">
        <v>14</v>
      </c>
      <c r="B15" s="124" t="s">
        <v>35</v>
      </c>
      <c r="C15" s="117">
        <f>85007.507</f>
        <v>85007.506999999998</v>
      </c>
      <c r="D15" s="117">
        <v>88239.4</v>
      </c>
      <c r="E15" s="117">
        <f t="shared" si="0"/>
        <v>3231.8929999999964</v>
      </c>
      <c r="F15" s="121">
        <f>D15/C15*100</f>
        <v>103.80189128473087</v>
      </c>
      <c r="G15" s="117">
        <f>79674.076</f>
        <v>79674.076000000001</v>
      </c>
      <c r="H15" s="117">
        <v>81513.600000000006</v>
      </c>
      <c r="I15" s="117">
        <f t="shared" si="2"/>
        <v>1839.5240000000049</v>
      </c>
      <c r="J15" s="126">
        <f t="shared" si="3"/>
        <v>102.30881121231957</v>
      </c>
      <c r="K15" s="117">
        <f>947.845</f>
        <v>947.84500000000003</v>
      </c>
      <c r="L15" s="117">
        <v>2434.3000000000002</v>
      </c>
      <c r="M15" s="117">
        <f t="shared" si="4"/>
        <v>1486.4550000000002</v>
      </c>
      <c r="N15" s="121">
        <f t="shared" si="5"/>
        <v>256.82469180087463</v>
      </c>
      <c r="O15" s="127">
        <f t="shared" si="6"/>
        <v>2.7587449597345408</v>
      </c>
    </row>
    <row r="16" spans="1:17">
      <c r="A16" s="123" t="s">
        <v>15</v>
      </c>
      <c r="B16" s="124" t="s">
        <v>36</v>
      </c>
      <c r="C16" s="117">
        <f>46368.829</f>
        <v>46368.828999999998</v>
      </c>
      <c r="D16" s="117">
        <v>54665.8</v>
      </c>
      <c r="E16" s="117">
        <f t="shared" si="0"/>
        <v>8296.971000000005</v>
      </c>
      <c r="F16" s="121">
        <f t="shared" si="1"/>
        <v>117.89342361869868</v>
      </c>
      <c r="G16" s="117">
        <f>26994.871</f>
        <v>26994.870999999999</v>
      </c>
      <c r="H16" s="117">
        <v>31892.9</v>
      </c>
      <c r="I16" s="117">
        <f t="shared" si="2"/>
        <v>4898.0290000000023</v>
      </c>
      <c r="J16" s="126">
        <f t="shared" si="3"/>
        <v>118.14429489216676</v>
      </c>
      <c r="K16" s="117">
        <f>11575.211</f>
        <v>11575.210999999999</v>
      </c>
      <c r="L16" s="117">
        <v>10027.9</v>
      </c>
      <c r="M16" s="117">
        <f t="shared" si="4"/>
        <v>-1547.3109999999997</v>
      </c>
      <c r="N16" s="121">
        <f t="shared" si="5"/>
        <v>86.632546050348452</v>
      </c>
      <c r="O16" s="127">
        <f t="shared" si="6"/>
        <v>18.344010331871115</v>
      </c>
    </row>
    <row r="17" spans="1:15">
      <c r="A17" s="125" t="s">
        <v>16</v>
      </c>
      <c r="B17" s="124" t="s">
        <v>37</v>
      </c>
      <c r="C17" s="117">
        <f>37283.921</f>
        <v>37283.921000000002</v>
      </c>
      <c r="D17" s="117">
        <v>39955.4</v>
      </c>
      <c r="E17" s="117">
        <f t="shared" si="0"/>
        <v>2671.4789999999994</v>
      </c>
      <c r="F17" s="121">
        <f t="shared" si="1"/>
        <v>107.16523082430092</v>
      </c>
      <c r="G17" s="117">
        <f>28936.052</f>
        <v>28936.052</v>
      </c>
      <c r="H17" s="117">
        <v>31123.4</v>
      </c>
      <c r="I17" s="117">
        <f t="shared" si="2"/>
        <v>2187.3480000000018</v>
      </c>
      <c r="J17" s="126">
        <f t="shared" si="3"/>
        <v>107.55924823469354</v>
      </c>
      <c r="K17" s="117">
        <f>140.948</f>
        <v>140.94800000000001</v>
      </c>
      <c r="L17" s="117">
        <v>53.2</v>
      </c>
      <c r="M17" s="117">
        <f t="shared" si="4"/>
        <v>-87.748000000000005</v>
      </c>
      <c r="N17" s="121">
        <f t="shared" si="5"/>
        <v>37.744416380509122</v>
      </c>
      <c r="O17" s="127">
        <f t="shared" si="6"/>
        <v>0.13314846053349486</v>
      </c>
    </row>
    <row r="18" spans="1:15">
      <c r="A18" s="123" t="s">
        <v>17</v>
      </c>
      <c r="B18" s="124" t="s">
        <v>38</v>
      </c>
      <c r="C18" s="117">
        <v>8493.8809999999994</v>
      </c>
      <c r="D18" s="117">
        <v>8049.7740000000003</v>
      </c>
      <c r="E18" s="117">
        <f t="shared" si="0"/>
        <v>-444.10699999999906</v>
      </c>
      <c r="F18" s="121">
        <f t="shared" si="1"/>
        <v>94.771447822261706</v>
      </c>
      <c r="G18" s="197">
        <v>4729.6859999999997</v>
      </c>
      <c r="H18" s="197">
        <v>4808.4539999999997</v>
      </c>
      <c r="I18" s="117">
        <f t="shared" si="2"/>
        <v>78.768000000000029</v>
      </c>
      <c r="J18" s="126">
        <f t="shared" si="3"/>
        <v>101.66539596920387</v>
      </c>
      <c r="K18" s="117">
        <f>186.601</f>
        <v>186.601</v>
      </c>
      <c r="L18" s="117">
        <v>207.976</v>
      </c>
      <c r="M18" s="117">
        <f t="shared" si="4"/>
        <v>21.375</v>
      </c>
      <c r="N18" s="121">
        <f t="shared" si="5"/>
        <v>111.454922535249</v>
      </c>
      <c r="O18" s="127">
        <f t="shared" si="6"/>
        <v>2.5836253291086182</v>
      </c>
    </row>
    <row r="19" spans="1:15" ht="23.25">
      <c r="A19" s="125" t="s">
        <v>18</v>
      </c>
      <c r="B19" s="124" t="s">
        <v>39</v>
      </c>
      <c r="C19" s="117">
        <f>1465.049</f>
        <v>1465.049</v>
      </c>
      <c r="D19" s="117">
        <v>1476.5</v>
      </c>
      <c r="E19" s="117">
        <f t="shared" si="0"/>
        <v>11.451000000000022</v>
      </c>
      <c r="F19" s="121">
        <f t="shared" si="1"/>
        <v>100.78161208259928</v>
      </c>
      <c r="G19" s="117">
        <f>1284.336</f>
        <v>1284.336</v>
      </c>
      <c r="H19" s="117">
        <v>1326.1</v>
      </c>
      <c r="I19" s="117">
        <f t="shared" si="2"/>
        <v>41.763999999999896</v>
      </c>
      <c r="J19" s="126">
        <f t="shared" si="3"/>
        <v>103.25179703753533</v>
      </c>
      <c r="K19" s="209">
        <f>65.752</f>
        <v>65.751999999999995</v>
      </c>
      <c r="L19" s="209">
        <v>91.4</v>
      </c>
      <c r="M19" s="117">
        <f t="shared" si="4"/>
        <v>25.64800000000001</v>
      </c>
      <c r="N19" s="121">
        <f t="shared" si="5"/>
        <v>139.00717848886728</v>
      </c>
      <c r="O19" s="127">
        <f t="shared" si="6"/>
        <v>6.1903149339654586</v>
      </c>
    </row>
    <row r="20" spans="1:15" ht="40.5">
      <c r="A20" s="123" t="s">
        <v>19</v>
      </c>
      <c r="B20" s="124" t="s">
        <v>40</v>
      </c>
      <c r="C20" s="117">
        <f>3955.746</f>
        <v>3955.7460000000001</v>
      </c>
      <c r="D20" s="117">
        <v>4192.5</v>
      </c>
      <c r="E20" s="117">
        <f t="shared" si="0"/>
        <v>236.75399999999991</v>
      </c>
      <c r="F20" s="121">
        <f t="shared" si="1"/>
        <v>105.98506577520396</v>
      </c>
      <c r="G20" s="117">
        <f>570.849</f>
        <v>570.84900000000005</v>
      </c>
      <c r="H20" s="117">
        <v>1880.3</v>
      </c>
      <c r="I20" s="117">
        <f t="shared" si="2"/>
        <v>1309.451</v>
      </c>
      <c r="J20" s="126">
        <f t="shared" si="3"/>
        <v>329.38658033910889</v>
      </c>
      <c r="K20" s="117">
        <f>-1221.722</f>
        <v>-1221.722</v>
      </c>
      <c r="L20" s="117">
        <v>-856.3</v>
      </c>
      <c r="M20" s="117">
        <f t="shared" si="4"/>
        <v>365.42200000000003</v>
      </c>
      <c r="N20" s="121">
        <f t="shared" si="5"/>
        <v>70.089594850547016</v>
      </c>
      <c r="O20" s="127">
        <f t="shared" si="6"/>
        <v>-20.424567680381635</v>
      </c>
    </row>
    <row r="21" spans="1:15">
      <c r="A21" s="125" t="s">
        <v>20</v>
      </c>
      <c r="B21" s="124" t="s">
        <v>41</v>
      </c>
      <c r="C21" s="117">
        <f>8588.038</f>
        <v>8588.0380000000005</v>
      </c>
      <c r="D21" s="117">
        <v>10258</v>
      </c>
      <c r="E21" s="117">
        <f t="shared" si="0"/>
        <v>1669.9619999999995</v>
      </c>
      <c r="F21" s="121">
        <f t="shared" si="1"/>
        <v>119.44520972077672</v>
      </c>
      <c r="G21" s="117">
        <f>6708.96</f>
        <v>6708.96</v>
      </c>
      <c r="H21" s="117">
        <v>8342.7000000000007</v>
      </c>
      <c r="I21" s="117">
        <f t="shared" si="2"/>
        <v>1633.7400000000007</v>
      </c>
      <c r="J21" s="126">
        <f t="shared" si="3"/>
        <v>124.35161336481364</v>
      </c>
      <c r="K21" s="117">
        <f>158.93</f>
        <v>158.93</v>
      </c>
      <c r="L21" s="117">
        <v>151.1</v>
      </c>
      <c r="M21" s="117">
        <f t="shared" si="4"/>
        <v>-7.8300000000000125</v>
      </c>
      <c r="N21" s="121">
        <f t="shared" si="5"/>
        <v>95.073302711885731</v>
      </c>
      <c r="O21" s="127">
        <f t="shared" si="6"/>
        <v>1.4729966855137453</v>
      </c>
    </row>
    <row r="22" spans="1:15">
      <c r="A22" s="123" t="s">
        <v>21</v>
      </c>
      <c r="B22" s="124" t="s">
        <v>42</v>
      </c>
      <c r="C22" s="117">
        <f>19840.674</f>
        <v>19840.673999999999</v>
      </c>
      <c r="D22" s="117">
        <v>22856.5</v>
      </c>
      <c r="E22" s="117">
        <f t="shared" si="0"/>
        <v>3015.8260000000009</v>
      </c>
      <c r="F22" s="121">
        <f t="shared" si="1"/>
        <v>115.20021950867194</v>
      </c>
      <c r="G22" s="117">
        <f>14988.086</f>
        <v>14988.085999999999</v>
      </c>
      <c r="H22" s="117">
        <v>16172.3</v>
      </c>
      <c r="I22" s="117">
        <f t="shared" si="2"/>
        <v>1184.2139999999999</v>
      </c>
      <c r="J22" s="126">
        <f t="shared" si="3"/>
        <v>107.90103552915295</v>
      </c>
      <c r="K22" s="117">
        <v>-423.5</v>
      </c>
      <c r="L22" s="117">
        <v>191.2</v>
      </c>
      <c r="M22" s="117">
        <f t="shared" si="4"/>
        <v>614.70000000000005</v>
      </c>
      <c r="N22" s="121">
        <f t="shared" si="5"/>
        <v>-45.147579693034231</v>
      </c>
      <c r="O22" s="127">
        <f t="shared" si="6"/>
        <v>0.8365235272242032</v>
      </c>
    </row>
    <row r="23" spans="1:15">
      <c r="A23" s="123" t="s">
        <v>43</v>
      </c>
      <c r="B23" s="124" t="s">
        <v>46</v>
      </c>
      <c r="C23" s="117">
        <v>429.4</v>
      </c>
      <c r="D23" s="117">
        <v>333.5</v>
      </c>
      <c r="E23" s="117">
        <f t="shared" si="0"/>
        <v>-95.899999999999977</v>
      </c>
      <c r="F23" s="121">
        <f t="shared" si="1"/>
        <v>77.666511411271543</v>
      </c>
      <c r="G23" s="117">
        <v>429.4</v>
      </c>
      <c r="H23" s="117">
        <v>333.5</v>
      </c>
      <c r="I23" s="117">
        <f t="shared" si="2"/>
        <v>-95.899999999999977</v>
      </c>
      <c r="J23" s="126">
        <f t="shared" si="3"/>
        <v>77.666511411271543</v>
      </c>
      <c r="K23" s="117">
        <v>0</v>
      </c>
      <c r="L23" s="117">
        <v>0</v>
      </c>
      <c r="M23" s="117">
        <f t="shared" si="4"/>
        <v>0</v>
      </c>
      <c r="N23" s="121">
        <v>0</v>
      </c>
      <c r="O23" s="127">
        <f t="shared" si="6"/>
        <v>0</v>
      </c>
    </row>
    <row r="24" spans="1:15">
      <c r="A24" s="125" t="s">
        <v>45</v>
      </c>
      <c r="B24" s="124" t="s">
        <v>48</v>
      </c>
      <c r="C24" s="117">
        <f>228.926</f>
        <v>228.92599999999999</v>
      </c>
      <c r="D24" s="117">
        <v>195.4</v>
      </c>
      <c r="E24" s="117">
        <f t="shared" si="0"/>
        <v>-33.525999999999982</v>
      </c>
      <c r="F24" s="121">
        <f t="shared" si="1"/>
        <v>85.355092912120085</v>
      </c>
      <c r="G24" s="117">
        <f>185.7</f>
        <v>185.7</v>
      </c>
      <c r="H24" s="117">
        <v>180</v>
      </c>
      <c r="I24" s="117">
        <f t="shared" si="2"/>
        <v>-5.6999999999999886</v>
      </c>
      <c r="J24" s="126">
        <f t="shared" si="3"/>
        <v>96.930533117932143</v>
      </c>
      <c r="K24" s="117">
        <f>-3.706</f>
        <v>-3.706</v>
      </c>
      <c r="L24" s="117">
        <v>-23.9</v>
      </c>
      <c r="M24" s="117">
        <f t="shared" si="4"/>
        <v>-20.193999999999999</v>
      </c>
      <c r="N24" s="121">
        <f t="shared" si="5"/>
        <v>644.90016189962228</v>
      </c>
      <c r="O24" s="127">
        <f t="shared" si="6"/>
        <v>-12.231320368474924</v>
      </c>
    </row>
    <row r="25" spans="1:15" ht="21" thickBot="1">
      <c r="A25" s="123" t="s">
        <v>47</v>
      </c>
      <c r="B25" s="194" t="s">
        <v>50</v>
      </c>
      <c r="C25" s="211">
        <f>765.485</f>
        <v>765.48500000000001</v>
      </c>
      <c r="D25" s="211">
        <v>759.7</v>
      </c>
      <c r="E25" s="195">
        <f t="shared" ref="E25" si="8">D25-C25</f>
        <v>-5.7849999999999682</v>
      </c>
      <c r="F25" s="196">
        <f t="shared" ref="F25" si="9">D25/C25*100</f>
        <v>99.244269972631741</v>
      </c>
      <c r="G25" s="211">
        <f>539.341</f>
        <v>539.34100000000001</v>
      </c>
      <c r="H25" s="211">
        <v>573.5</v>
      </c>
      <c r="I25" s="195">
        <f t="shared" ref="I25" si="10">H25-G25</f>
        <v>34.158999999999992</v>
      </c>
      <c r="J25" s="198">
        <f t="shared" ref="J25" si="11">H25/G25*100</f>
        <v>106.33346991977245</v>
      </c>
      <c r="K25" s="211">
        <v>44.2</v>
      </c>
      <c r="L25" s="211">
        <v>-16.3</v>
      </c>
      <c r="M25" s="195">
        <f t="shared" ref="M25" si="12">L25-K25</f>
        <v>-60.5</v>
      </c>
      <c r="N25" s="196">
        <f t="shared" ref="N25" si="13">L25/K25*100</f>
        <v>-36.877828054298639</v>
      </c>
      <c r="O25" s="199">
        <f t="shared" ref="O25" si="14">L25*100/D25</f>
        <v>-2.145583783072265</v>
      </c>
    </row>
    <row r="26" spans="1:15" ht="21" thickBot="1">
      <c r="A26" s="123" t="s">
        <v>49</v>
      </c>
      <c r="B26" s="194" t="s">
        <v>217</v>
      </c>
      <c r="C26" s="211">
        <v>1145.0999999999999</v>
      </c>
      <c r="D26" s="211">
        <v>27</v>
      </c>
      <c r="E26" s="195">
        <f t="shared" si="0"/>
        <v>-1118.0999999999999</v>
      </c>
      <c r="F26" s="196">
        <f t="shared" si="1"/>
        <v>2.3578726748755567</v>
      </c>
      <c r="G26" s="211">
        <v>0</v>
      </c>
      <c r="H26" s="211">
        <v>10.3</v>
      </c>
      <c r="I26" s="195">
        <f t="shared" si="2"/>
        <v>10.3</v>
      </c>
      <c r="J26" s="198">
        <v>0</v>
      </c>
      <c r="K26" s="211">
        <v>77.400000000000006</v>
      </c>
      <c r="L26" s="211">
        <v>115.2</v>
      </c>
      <c r="M26" s="195">
        <f t="shared" si="4"/>
        <v>37.799999999999997</v>
      </c>
      <c r="N26" s="198">
        <f t="shared" si="5"/>
        <v>148.83720930232559</v>
      </c>
      <c r="O26" s="119">
        <f t="shared" si="6"/>
        <v>426.66666666666669</v>
      </c>
    </row>
    <row r="27" spans="1:15" s="210" customFormat="1" ht="21" thickBot="1">
      <c r="A27" s="289" t="s">
        <v>51</v>
      </c>
      <c r="B27" s="290"/>
      <c r="C27" s="212">
        <f>SUM(C11:C26)</f>
        <v>487865.00099999987</v>
      </c>
      <c r="D27" s="212">
        <f>SUM(D11:D26)</f>
        <v>547860.07399999991</v>
      </c>
      <c r="E27" s="213">
        <f>D27-C27</f>
        <v>59995.073000000033</v>
      </c>
      <c r="F27" s="214">
        <f t="shared" si="1"/>
        <v>112.29747427608565</v>
      </c>
      <c r="G27" s="212">
        <f>SUM(G11:G26)</f>
        <v>394196.00000000012</v>
      </c>
      <c r="H27" s="212">
        <f>SUM(H11:H26)</f>
        <v>438770.15400000004</v>
      </c>
      <c r="I27" s="215">
        <f t="shared" si="2"/>
        <v>44574.153999999922</v>
      </c>
      <c r="J27" s="212">
        <f t="shared" si="3"/>
        <v>111.30761194938556</v>
      </c>
      <c r="K27" s="212">
        <f>SUM(K11:K26)</f>
        <v>615.94000000000028</v>
      </c>
      <c r="L27" s="212">
        <f>SUM(L11:L26)</f>
        <v>11239.876000000004</v>
      </c>
      <c r="M27" s="215">
        <f t="shared" si="4"/>
        <v>10623.936000000003</v>
      </c>
      <c r="N27" s="214">
        <f t="shared" si="5"/>
        <v>1824.8329382732081</v>
      </c>
      <c r="O27" s="250">
        <f t="shared" si="6"/>
        <v>2.0515961161280032</v>
      </c>
    </row>
    <row r="28" spans="1:15">
      <c r="A28" s="125" t="s">
        <v>52</v>
      </c>
      <c r="B28" s="189" t="s">
        <v>53</v>
      </c>
      <c r="C28" s="216">
        <f>1534.205</f>
        <v>1534.2049999999999</v>
      </c>
      <c r="D28" s="216">
        <v>1154.8</v>
      </c>
      <c r="E28" s="206">
        <f t="shared" si="0"/>
        <v>-379.40499999999997</v>
      </c>
      <c r="F28" s="207">
        <f t="shared" si="1"/>
        <v>75.270253975185838</v>
      </c>
      <c r="G28" s="216">
        <f>1005.295</f>
        <v>1005.295</v>
      </c>
      <c r="H28" s="216">
        <v>1093.0999999999999</v>
      </c>
      <c r="I28" s="206">
        <f t="shared" si="2"/>
        <v>87.80499999999995</v>
      </c>
      <c r="J28" s="208">
        <f t="shared" si="3"/>
        <v>108.73425213494545</v>
      </c>
      <c r="K28" s="216">
        <f>-1.484</f>
        <v>-1.484</v>
      </c>
      <c r="L28" s="216">
        <v>-17.600000000000001</v>
      </c>
      <c r="M28" s="206">
        <f t="shared" si="4"/>
        <v>-16.116</v>
      </c>
      <c r="N28" s="207">
        <f t="shared" si="5"/>
        <v>1185.9838274932615</v>
      </c>
      <c r="O28" s="127">
        <f t="shared" si="6"/>
        <v>-1.5240734326290268</v>
      </c>
    </row>
    <row r="29" spans="1:15" ht="40.5">
      <c r="A29" s="123" t="s">
        <v>54</v>
      </c>
      <c r="B29" s="124" t="s">
        <v>55</v>
      </c>
      <c r="C29" s="119">
        <v>1047.289</v>
      </c>
      <c r="D29" s="119">
        <v>1365.1</v>
      </c>
      <c r="E29" s="117">
        <f t="shared" si="0"/>
        <v>317.81099999999992</v>
      </c>
      <c r="F29" s="121">
        <f t="shared" si="1"/>
        <v>130.34606493527573</v>
      </c>
      <c r="G29" s="119">
        <v>533.35400000000004</v>
      </c>
      <c r="H29" s="119">
        <v>777.6</v>
      </c>
      <c r="I29" s="117">
        <f t="shared" si="2"/>
        <v>244.24599999999998</v>
      </c>
      <c r="J29" s="126">
        <f t="shared" si="3"/>
        <v>145.79435046891933</v>
      </c>
      <c r="K29" s="119">
        <v>85</v>
      </c>
      <c r="L29" s="119">
        <v>-3.6</v>
      </c>
      <c r="M29" s="117">
        <f t="shared" si="4"/>
        <v>-88.6</v>
      </c>
      <c r="N29" s="121">
        <f t="shared" si="5"/>
        <v>-4.2352941176470589</v>
      </c>
      <c r="O29" s="127">
        <f t="shared" si="6"/>
        <v>-0.26371694381364003</v>
      </c>
    </row>
    <row r="30" spans="1:15">
      <c r="A30" s="123" t="s">
        <v>56</v>
      </c>
      <c r="B30" s="124" t="s">
        <v>57</v>
      </c>
      <c r="C30" s="119">
        <v>0</v>
      </c>
      <c r="D30" s="119"/>
      <c r="E30" s="117">
        <f t="shared" si="0"/>
        <v>0</v>
      </c>
      <c r="F30" s="121"/>
      <c r="G30" s="119">
        <v>0</v>
      </c>
      <c r="H30" s="119">
        <v>0</v>
      </c>
      <c r="I30" s="117">
        <f t="shared" si="2"/>
        <v>0</v>
      </c>
      <c r="J30" s="126"/>
      <c r="K30" s="119">
        <v>0</v>
      </c>
      <c r="L30" s="119">
        <v>-9.3000000000000007</v>
      </c>
      <c r="M30" s="117">
        <f t="shared" si="4"/>
        <v>-9.3000000000000007</v>
      </c>
      <c r="N30" s="121">
        <v>0</v>
      </c>
      <c r="O30" s="127"/>
    </row>
    <row r="31" spans="1:15">
      <c r="A31" s="217" t="s">
        <v>58</v>
      </c>
      <c r="B31" s="218" t="s">
        <v>189</v>
      </c>
      <c r="C31" s="211">
        <v>59.5</v>
      </c>
      <c r="D31" s="211">
        <v>126.8</v>
      </c>
      <c r="E31" s="195">
        <f t="shared" si="0"/>
        <v>67.3</v>
      </c>
      <c r="F31" s="196">
        <f t="shared" si="1"/>
        <v>213.109243697479</v>
      </c>
      <c r="G31" s="211">
        <v>13.8</v>
      </c>
      <c r="H31" s="211">
        <v>28.2</v>
      </c>
      <c r="I31" s="117">
        <f t="shared" si="2"/>
        <v>14.399999999999999</v>
      </c>
      <c r="J31" s="126">
        <f t="shared" si="3"/>
        <v>204.3478260869565</v>
      </c>
      <c r="K31" s="211">
        <v>-9.6</v>
      </c>
      <c r="L31" s="211">
        <v>1</v>
      </c>
      <c r="M31" s="117">
        <f t="shared" si="4"/>
        <v>10.6</v>
      </c>
      <c r="N31" s="121">
        <f t="shared" si="5"/>
        <v>-10.416666666666668</v>
      </c>
      <c r="O31" s="127">
        <f>L31*100/D31</f>
        <v>0.78864353312302837</v>
      </c>
    </row>
    <row r="32" spans="1:15" ht="41.25" thickBot="1">
      <c r="A32" s="217" t="s">
        <v>61</v>
      </c>
      <c r="B32" s="194" t="s">
        <v>59</v>
      </c>
      <c r="C32" s="211">
        <v>0</v>
      </c>
      <c r="D32" s="211"/>
      <c r="E32" s="195">
        <f t="shared" si="0"/>
        <v>0</v>
      </c>
      <c r="F32" s="196">
        <v>0</v>
      </c>
      <c r="G32" s="211">
        <v>0</v>
      </c>
      <c r="H32" s="211"/>
      <c r="I32" s="195">
        <f t="shared" si="2"/>
        <v>0</v>
      </c>
      <c r="J32" s="198">
        <v>0</v>
      </c>
      <c r="K32" s="211">
        <v>3.3</v>
      </c>
      <c r="L32" s="211"/>
      <c r="M32" s="195">
        <f t="shared" si="4"/>
        <v>-3.3</v>
      </c>
      <c r="N32" s="196">
        <f t="shared" si="5"/>
        <v>0</v>
      </c>
      <c r="O32" s="127"/>
    </row>
    <row r="33" spans="1:17" s="205" customFormat="1" ht="21" thickBot="1">
      <c r="A33" s="289" t="s">
        <v>60</v>
      </c>
      <c r="B33" s="290"/>
      <c r="C33" s="200">
        <f>SUM(C28:C32)</f>
        <v>2640.9939999999997</v>
      </c>
      <c r="D33" s="200">
        <f>SUM(D28:D32)</f>
        <v>2646.7</v>
      </c>
      <c r="E33" s="201">
        <f t="shared" si="0"/>
        <v>5.706000000000131</v>
      </c>
      <c r="F33" s="202">
        <f t="shared" si="1"/>
        <v>100.2160550156494</v>
      </c>
      <c r="G33" s="200">
        <f>SUM(G28:G32)</f>
        <v>1552.4489999999998</v>
      </c>
      <c r="H33" s="251">
        <f>SUM(H28:H32)</f>
        <v>1898.8999999999999</v>
      </c>
      <c r="I33" s="221">
        <f t="shared" si="2"/>
        <v>346.45100000000002</v>
      </c>
      <c r="J33" s="202">
        <f t="shared" si="3"/>
        <v>122.31641747973686</v>
      </c>
      <c r="K33" s="252">
        <f>SUM(K28:K32)</f>
        <v>77.216000000000008</v>
      </c>
      <c r="L33" s="200">
        <f>SUM(L28:L32)</f>
        <v>-29.500000000000004</v>
      </c>
      <c r="M33" s="201">
        <f>L33-K33</f>
        <v>-106.71600000000001</v>
      </c>
      <c r="N33" s="202">
        <f t="shared" si="5"/>
        <v>-38.204517198508078</v>
      </c>
      <c r="O33" s="204">
        <f t="shared" si="6"/>
        <v>-1.1145955340612841</v>
      </c>
    </row>
    <row r="34" spans="1:17">
      <c r="A34" s="125" t="s">
        <v>63</v>
      </c>
      <c r="B34" s="189" t="s">
        <v>62</v>
      </c>
      <c r="C34" s="216">
        <f>1970.596</f>
        <v>1970.596</v>
      </c>
      <c r="D34" s="216">
        <v>2126.1</v>
      </c>
      <c r="E34" s="206">
        <f t="shared" si="0"/>
        <v>155.50399999999991</v>
      </c>
      <c r="F34" s="207">
        <f t="shared" si="1"/>
        <v>107.89121666744477</v>
      </c>
      <c r="G34" s="216">
        <f>596.956</f>
        <v>596.95600000000002</v>
      </c>
      <c r="H34" s="216">
        <v>631</v>
      </c>
      <c r="I34" s="206">
        <f t="shared" si="2"/>
        <v>34.043999999999983</v>
      </c>
      <c r="J34" s="208">
        <f t="shared" si="3"/>
        <v>105.70293287947521</v>
      </c>
      <c r="K34" s="216">
        <f>31.53</f>
        <v>31.53</v>
      </c>
      <c r="L34" s="216">
        <v>144.6</v>
      </c>
      <c r="M34" s="206">
        <f t="shared" si="4"/>
        <v>113.07</v>
      </c>
      <c r="N34" s="207">
        <f t="shared" si="5"/>
        <v>458.61084681255943</v>
      </c>
      <c r="O34" s="127">
        <f t="shared" si="6"/>
        <v>6.8011852688020324</v>
      </c>
    </row>
    <row r="35" spans="1:17">
      <c r="A35" s="123" t="s">
        <v>65</v>
      </c>
      <c r="B35" s="124" t="s">
        <v>64</v>
      </c>
      <c r="C35" s="219">
        <f>27055.673</f>
        <v>27055.672999999999</v>
      </c>
      <c r="D35" s="219">
        <v>30724.7</v>
      </c>
      <c r="E35" s="117">
        <f>D35-C35</f>
        <v>3669.0270000000019</v>
      </c>
      <c r="F35" s="121">
        <f>D35/C35*100</f>
        <v>113.56102655439398</v>
      </c>
      <c r="G35" s="119">
        <f>17548.162</f>
        <v>17548.162</v>
      </c>
      <c r="H35" s="119">
        <v>19924.900000000001</v>
      </c>
      <c r="I35" s="117">
        <f>H35-G35</f>
        <v>2376.7380000000012</v>
      </c>
      <c r="J35" s="126">
        <f>H35/G35*100</f>
        <v>113.54408512982728</v>
      </c>
      <c r="K35" s="119">
        <f>-1240.763</f>
        <v>-1240.7629999999999</v>
      </c>
      <c r="L35" s="119">
        <v>-742.8</v>
      </c>
      <c r="M35" s="117">
        <f>L35-K35</f>
        <v>497.96299999999997</v>
      </c>
      <c r="N35" s="121">
        <f>L35/K35*100</f>
        <v>59.866388665683935</v>
      </c>
      <c r="O35" s="127">
        <f t="shared" si="6"/>
        <v>-2.4175988699645563</v>
      </c>
    </row>
    <row r="36" spans="1:17">
      <c r="A36" s="125" t="s">
        <v>67</v>
      </c>
      <c r="B36" s="124" t="s">
        <v>66</v>
      </c>
      <c r="C36" s="119">
        <f>23040.18</f>
        <v>23040.18</v>
      </c>
      <c r="D36" s="119">
        <v>24679.599999999999</v>
      </c>
      <c r="E36" s="117">
        <f>D36-C36</f>
        <v>1639.4199999999983</v>
      </c>
      <c r="F36" s="121">
        <f>D36/C36*100</f>
        <v>107.11548260473658</v>
      </c>
      <c r="G36" s="119">
        <f>20778.357</f>
        <v>20778.357</v>
      </c>
      <c r="H36" s="119">
        <v>22253.9</v>
      </c>
      <c r="I36" s="117">
        <f>H36-G36</f>
        <v>1475.5430000000015</v>
      </c>
      <c r="J36" s="126">
        <f>H36/G36*100</f>
        <v>107.10134588601015</v>
      </c>
      <c r="K36" s="119">
        <v>1.036</v>
      </c>
      <c r="L36" s="119">
        <v>15.9</v>
      </c>
      <c r="M36" s="117">
        <f>L36-K36</f>
        <v>14.864000000000001</v>
      </c>
      <c r="N36" s="121">
        <f>L36/K36*100</f>
        <v>1534.7490347490348</v>
      </c>
      <c r="O36" s="127">
        <f t="shared" si="6"/>
        <v>6.4425679508581996E-2</v>
      </c>
    </row>
    <row r="37" spans="1:17">
      <c r="A37" s="123" t="s">
        <v>69</v>
      </c>
      <c r="B37" s="124" t="s">
        <v>68</v>
      </c>
      <c r="C37" s="119">
        <f>15080.891</f>
        <v>15080.891</v>
      </c>
      <c r="D37" s="119">
        <v>16704.900000000001</v>
      </c>
      <c r="E37" s="117">
        <f>D37-C37</f>
        <v>1624.0090000000018</v>
      </c>
      <c r="F37" s="121">
        <f>D37/C37*100</f>
        <v>110.7686541862812</v>
      </c>
      <c r="G37" s="119">
        <f>10135.751</f>
        <v>10135.751</v>
      </c>
      <c r="H37" s="119">
        <v>10958.1</v>
      </c>
      <c r="I37" s="117">
        <f>H37-G37</f>
        <v>822.34900000000016</v>
      </c>
      <c r="J37" s="126">
        <f>H37/G37*100</f>
        <v>108.11335045622175</v>
      </c>
      <c r="K37" s="119">
        <f>-228.306</f>
        <v>-228.30600000000001</v>
      </c>
      <c r="L37" s="119">
        <v>235.1</v>
      </c>
      <c r="M37" s="117">
        <f>L37-K37</f>
        <v>463.40600000000001</v>
      </c>
      <c r="N37" s="121">
        <f>L37/K37*100</f>
        <v>-102.97583068338108</v>
      </c>
      <c r="O37" s="127">
        <f t="shared" si="6"/>
        <v>1.4073714898023932</v>
      </c>
    </row>
    <row r="38" spans="1:17" ht="21" thickBot="1">
      <c r="A38" s="125" t="s">
        <v>73</v>
      </c>
      <c r="B38" s="194" t="s">
        <v>70</v>
      </c>
      <c r="C38" s="211">
        <f>28863.113</f>
        <v>28863.113000000001</v>
      </c>
      <c r="D38" s="211">
        <v>32408</v>
      </c>
      <c r="E38" s="195">
        <f>D38-C38</f>
        <v>3544.8869999999988</v>
      </c>
      <c r="F38" s="196">
        <f>D38/C38*100</f>
        <v>112.28172096336246</v>
      </c>
      <c r="G38" s="211">
        <f>18632.57</f>
        <v>18632.57</v>
      </c>
      <c r="H38" s="211">
        <v>21101.9</v>
      </c>
      <c r="I38" s="195">
        <f>H38-G38</f>
        <v>2469.3300000000017</v>
      </c>
      <c r="J38" s="198">
        <f>H38/G38*100</f>
        <v>113.25276115962532</v>
      </c>
      <c r="K38" s="211">
        <f>23.486</f>
        <v>23.486000000000001</v>
      </c>
      <c r="L38" s="211">
        <v>22</v>
      </c>
      <c r="M38" s="195">
        <f>L38-K38</f>
        <v>-1.4860000000000007</v>
      </c>
      <c r="N38" s="196">
        <f>L38/K38*100</f>
        <v>93.672826364642759</v>
      </c>
      <c r="O38" s="199">
        <f t="shared" si="6"/>
        <v>6.7884472969637122E-2</v>
      </c>
    </row>
    <row r="39" spans="1:17" s="223" customFormat="1" ht="21" thickBot="1">
      <c r="A39" s="289" t="s">
        <v>71</v>
      </c>
      <c r="B39" s="290"/>
      <c r="C39" s="220">
        <f>SUM(C34:C38)</f>
        <v>96010.452999999994</v>
      </c>
      <c r="D39" s="220">
        <f>SUM(D34:D38)</f>
        <v>106643.3</v>
      </c>
      <c r="E39" s="221">
        <f t="shared" si="0"/>
        <v>10632.847000000009</v>
      </c>
      <c r="F39" s="202">
        <f t="shared" si="1"/>
        <v>111.07467642091014</v>
      </c>
      <c r="G39" s="220">
        <f>SUM(G34:G38)</f>
        <v>67691.796000000002</v>
      </c>
      <c r="H39" s="220">
        <f>SUM(H34:H38)</f>
        <v>74869.8</v>
      </c>
      <c r="I39" s="201">
        <f t="shared" si="2"/>
        <v>7178.0040000000008</v>
      </c>
      <c r="J39" s="203">
        <f t="shared" si="3"/>
        <v>110.60394970167434</v>
      </c>
      <c r="K39" s="220">
        <f>SUM(K34:K38)</f>
        <v>-1413.0169999999998</v>
      </c>
      <c r="L39" s="220">
        <f>SUM(L34:L38)</f>
        <v>-325.19999999999993</v>
      </c>
      <c r="M39" s="201">
        <f t="shared" si="4"/>
        <v>1087.817</v>
      </c>
      <c r="N39" s="202">
        <f t="shared" si="5"/>
        <v>23.014585104071642</v>
      </c>
      <c r="O39" s="222">
        <f t="shared" si="6"/>
        <v>-0.30494180131335014</v>
      </c>
    </row>
    <row r="40" spans="1:17" ht="27" customHeight="1">
      <c r="A40" s="125" t="s">
        <v>75</v>
      </c>
      <c r="B40" s="224" t="s">
        <v>74</v>
      </c>
      <c r="C40" s="216">
        <f>4017.668</f>
        <v>4017.6680000000001</v>
      </c>
      <c r="D40" s="216">
        <v>4459.2</v>
      </c>
      <c r="E40" s="206">
        <f t="shared" si="0"/>
        <v>441.5319999999997</v>
      </c>
      <c r="F40" s="207">
        <f t="shared" si="1"/>
        <v>110.98975823786334</v>
      </c>
      <c r="G40" s="216">
        <f>3001.176</f>
        <v>3001.1759999999999</v>
      </c>
      <c r="H40" s="216">
        <v>3356.6</v>
      </c>
      <c r="I40" s="206">
        <f t="shared" si="2"/>
        <v>355.42399999999998</v>
      </c>
      <c r="J40" s="208">
        <f t="shared" si="3"/>
        <v>111.84282427954908</v>
      </c>
      <c r="K40" s="216">
        <f>-20589.418</f>
        <v>-20589.418000000001</v>
      </c>
      <c r="L40" s="216">
        <v>-3938.6</v>
      </c>
      <c r="M40" s="206">
        <f t="shared" si="4"/>
        <v>16650.818000000003</v>
      </c>
      <c r="N40" s="207">
        <f t="shared" si="5"/>
        <v>19.129243964059594</v>
      </c>
      <c r="O40" s="127">
        <f t="shared" si="6"/>
        <v>-88.325260136347325</v>
      </c>
    </row>
    <row r="41" spans="1:17" ht="28.5" customHeight="1">
      <c r="A41" s="123" t="s">
        <v>77</v>
      </c>
      <c r="B41" s="124" t="s">
        <v>76</v>
      </c>
      <c r="C41" s="119">
        <f>3365.532</f>
        <v>3365.5320000000002</v>
      </c>
      <c r="D41" s="119">
        <v>3484.3</v>
      </c>
      <c r="E41" s="117">
        <f t="shared" si="0"/>
        <v>118.76800000000003</v>
      </c>
      <c r="F41" s="121">
        <f t="shared" si="1"/>
        <v>103.52895173779362</v>
      </c>
      <c r="G41" s="119">
        <f>2442.355</f>
        <v>2442.355</v>
      </c>
      <c r="H41" s="119">
        <v>2667.4</v>
      </c>
      <c r="I41" s="117">
        <f t="shared" si="2"/>
        <v>225.04500000000007</v>
      </c>
      <c r="J41" s="126">
        <f t="shared" si="3"/>
        <v>109.21426246389242</v>
      </c>
      <c r="K41" s="119">
        <f>-27242.612</f>
        <v>-27242.612000000001</v>
      </c>
      <c r="L41" s="119">
        <v>-7642.6</v>
      </c>
      <c r="M41" s="117">
        <f t="shared" si="4"/>
        <v>19600.012000000002</v>
      </c>
      <c r="N41" s="121">
        <f t="shared" si="5"/>
        <v>28.053844469832779</v>
      </c>
      <c r="O41" s="127">
        <f t="shared" si="6"/>
        <v>-219.34391412909335</v>
      </c>
    </row>
    <row r="42" spans="1:17" ht="27" customHeight="1">
      <c r="A42" s="125" t="s">
        <v>79</v>
      </c>
      <c r="B42" s="239" t="s">
        <v>78</v>
      </c>
      <c r="C42" s="119">
        <f>3277.52</f>
        <v>3277.52</v>
      </c>
      <c r="D42" s="119">
        <v>3359.1</v>
      </c>
      <c r="E42" s="117">
        <f t="shared" si="0"/>
        <v>81.579999999999927</v>
      </c>
      <c r="F42" s="121">
        <f t="shared" si="1"/>
        <v>102.48907710708097</v>
      </c>
      <c r="G42" s="119">
        <f>2597.625</f>
        <v>2597.625</v>
      </c>
      <c r="H42" s="119">
        <v>2278.4</v>
      </c>
      <c r="I42" s="117">
        <f t="shared" si="2"/>
        <v>-319.22499999999991</v>
      </c>
      <c r="J42" s="126">
        <f t="shared" si="3"/>
        <v>87.710889755064727</v>
      </c>
      <c r="K42" s="119">
        <f>-511.907</f>
        <v>-511.90699999999998</v>
      </c>
      <c r="L42" s="119">
        <v>-0.9</v>
      </c>
      <c r="M42" s="117">
        <f t="shared" si="4"/>
        <v>511.00700000000001</v>
      </c>
      <c r="N42" s="121">
        <f t="shared" si="5"/>
        <v>0.17581318481677338</v>
      </c>
      <c r="O42" s="127">
        <f t="shared" si="6"/>
        <v>-2.6792890952933822E-2</v>
      </c>
      <c r="Q42" s="255"/>
    </row>
    <row r="43" spans="1:17" ht="30" customHeight="1">
      <c r="A43" s="123" t="s">
        <v>81</v>
      </c>
      <c r="B43" s="124" t="s">
        <v>80</v>
      </c>
      <c r="C43" s="119">
        <f>3918.823</f>
        <v>3918.8229999999999</v>
      </c>
      <c r="D43" s="119">
        <v>4005.3</v>
      </c>
      <c r="E43" s="117">
        <f t="shared" si="0"/>
        <v>86.477000000000317</v>
      </c>
      <c r="F43" s="121">
        <f t="shared" si="1"/>
        <v>102.20670849385137</v>
      </c>
      <c r="G43" s="119">
        <f>3398.087</f>
        <v>3398.087</v>
      </c>
      <c r="H43" s="119">
        <v>2773.8</v>
      </c>
      <c r="I43" s="117">
        <f t="shared" si="2"/>
        <v>-624.28699999999981</v>
      </c>
      <c r="J43" s="126">
        <f t="shared" si="3"/>
        <v>81.628280853315417</v>
      </c>
      <c r="K43" s="119">
        <f>-173.412</f>
        <v>-173.41200000000001</v>
      </c>
      <c r="L43" s="119">
        <v>-634.70000000000005</v>
      </c>
      <c r="M43" s="117">
        <f t="shared" si="4"/>
        <v>-461.28800000000001</v>
      </c>
      <c r="N43" s="121">
        <f t="shared" si="5"/>
        <v>366.00696606924549</v>
      </c>
      <c r="O43" s="127">
        <f t="shared" si="6"/>
        <v>-15.846503383017502</v>
      </c>
    </row>
    <row r="44" spans="1:17" ht="27" customHeight="1">
      <c r="A44" s="125" t="s">
        <v>83</v>
      </c>
      <c r="B44" s="124" t="s">
        <v>82</v>
      </c>
      <c r="C44" s="119">
        <f>4290.736</f>
        <v>4290.7359999999999</v>
      </c>
      <c r="D44" s="119">
        <v>4397.8999999999996</v>
      </c>
      <c r="E44" s="117">
        <f t="shared" si="0"/>
        <v>107.16399999999976</v>
      </c>
      <c r="F44" s="121">
        <f t="shared" si="1"/>
        <v>102.49756685100178</v>
      </c>
      <c r="G44" s="119">
        <f>3166.181</f>
        <v>3166.181</v>
      </c>
      <c r="H44" s="119">
        <v>3229.5</v>
      </c>
      <c r="I44" s="117">
        <f t="shared" si="2"/>
        <v>63.31899999999996</v>
      </c>
      <c r="J44" s="126">
        <f t="shared" si="3"/>
        <v>101.99985408288408</v>
      </c>
      <c r="K44" s="119">
        <f>28.2</f>
        <v>28.2</v>
      </c>
      <c r="L44" s="119">
        <v>-537.4</v>
      </c>
      <c r="M44" s="117">
        <f t="shared" si="4"/>
        <v>-565.6</v>
      </c>
      <c r="N44" s="121">
        <f t="shared" si="5"/>
        <v>-1905.6737588652481</v>
      </c>
      <c r="O44" s="127">
        <f t="shared" si="6"/>
        <v>-12.219468382637169</v>
      </c>
      <c r="Q44" s="255"/>
    </row>
    <row r="45" spans="1:17" ht="24.75" customHeight="1">
      <c r="A45" s="123" t="s">
        <v>85</v>
      </c>
      <c r="B45" s="124" t="s">
        <v>84</v>
      </c>
      <c r="C45" s="119">
        <f>4463.02</f>
        <v>4463.0200000000004</v>
      </c>
      <c r="D45" s="119">
        <v>4541.3</v>
      </c>
      <c r="E45" s="117">
        <f t="shared" si="0"/>
        <v>78.279999999999745</v>
      </c>
      <c r="F45" s="121">
        <f t="shared" si="1"/>
        <v>101.7539692853718</v>
      </c>
      <c r="G45" s="119">
        <f>3071.486</f>
        <v>3071.4859999999999</v>
      </c>
      <c r="H45" s="119">
        <v>2898.8</v>
      </c>
      <c r="I45" s="117">
        <f t="shared" si="2"/>
        <v>-172.68599999999969</v>
      </c>
      <c r="J45" s="126">
        <f t="shared" si="3"/>
        <v>94.377770238900666</v>
      </c>
      <c r="K45" s="119">
        <f>-22794.224</f>
        <v>-22794.223999999998</v>
      </c>
      <c r="L45" s="119">
        <v>-8998.6</v>
      </c>
      <c r="M45" s="117">
        <f t="shared" si="4"/>
        <v>13795.623999999998</v>
      </c>
      <c r="N45" s="121">
        <f t="shared" si="5"/>
        <v>39.477544837674671</v>
      </c>
      <c r="O45" s="127">
        <f t="shared" si="6"/>
        <v>-198.15030938277584</v>
      </c>
    </row>
    <row r="46" spans="1:17" ht="27" customHeight="1">
      <c r="A46" s="125" t="s">
        <v>87</v>
      </c>
      <c r="B46" s="124" t="s">
        <v>86</v>
      </c>
      <c r="C46" s="119">
        <f>1618.341</f>
        <v>1618.3409999999999</v>
      </c>
      <c r="D46" s="119">
        <v>1622.8</v>
      </c>
      <c r="E46" s="117">
        <f t="shared" si="0"/>
        <v>4.45900000000006</v>
      </c>
      <c r="F46" s="121">
        <f t="shared" si="1"/>
        <v>100.2755290757634</v>
      </c>
      <c r="G46" s="119">
        <f>1214.899</f>
        <v>1214.8989999999999</v>
      </c>
      <c r="H46" s="119">
        <v>1069.2</v>
      </c>
      <c r="I46" s="117">
        <f t="shared" si="2"/>
        <v>-145.69899999999984</v>
      </c>
      <c r="J46" s="126">
        <f t="shared" si="3"/>
        <v>88.007315834485027</v>
      </c>
      <c r="K46" s="119">
        <f>81.527</f>
        <v>81.527000000000001</v>
      </c>
      <c r="L46" s="119">
        <v>117.1</v>
      </c>
      <c r="M46" s="117">
        <f t="shared" si="4"/>
        <v>35.572999999999993</v>
      </c>
      <c r="N46" s="121">
        <f t="shared" si="5"/>
        <v>143.63339752474639</v>
      </c>
      <c r="O46" s="127">
        <f t="shared" si="6"/>
        <v>7.2159230958836584</v>
      </c>
    </row>
    <row r="47" spans="1:17" ht="27.75" customHeight="1">
      <c r="A47" s="123" t="s">
        <v>89</v>
      </c>
      <c r="B47" s="124" t="s">
        <v>88</v>
      </c>
      <c r="C47" s="119">
        <f>2864.883</f>
        <v>2864.8829999999998</v>
      </c>
      <c r="D47" s="119">
        <v>3174.6</v>
      </c>
      <c r="E47" s="117">
        <f t="shared" si="0"/>
        <v>309.7170000000001</v>
      </c>
      <c r="F47" s="121">
        <f>D47/C47*100</f>
        <v>110.81080798064005</v>
      </c>
      <c r="G47" s="119">
        <v>66.75</v>
      </c>
      <c r="H47" s="119">
        <v>86.9</v>
      </c>
      <c r="I47" s="117">
        <f t="shared" si="2"/>
        <v>20.150000000000006</v>
      </c>
      <c r="J47" s="126">
        <f t="shared" si="3"/>
        <v>130.18726591760301</v>
      </c>
      <c r="K47" s="119">
        <f>-1174.465</f>
        <v>-1174.4649999999999</v>
      </c>
      <c r="L47" s="119">
        <v>343.4</v>
      </c>
      <c r="M47" s="117">
        <f t="shared" si="4"/>
        <v>1517.8649999999998</v>
      </c>
      <c r="N47" s="121">
        <f t="shared" si="5"/>
        <v>-29.238844920878869</v>
      </c>
      <c r="O47" s="127">
        <f t="shared" si="6"/>
        <v>10.817110817110818</v>
      </c>
    </row>
    <row r="48" spans="1:17" ht="27" customHeight="1">
      <c r="A48" s="125" t="s">
        <v>91</v>
      </c>
      <c r="B48" s="124" t="s">
        <v>90</v>
      </c>
      <c r="C48" s="119">
        <f>2535.554</f>
        <v>2535.5540000000001</v>
      </c>
      <c r="D48" s="119">
        <v>2875.6</v>
      </c>
      <c r="E48" s="117">
        <f t="shared" si="0"/>
        <v>340.04599999999982</v>
      </c>
      <c r="F48" s="121">
        <f t="shared" si="1"/>
        <v>113.41111252215492</v>
      </c>
      <c r="G48" s="119">
        <v>23.5</v>
      </c>
      <c r="H48" s="119"/>
      <c r="I48" s="117">
        <f t="shared" si="2"/>
        <v>-23.5</v>
      </c>
      <c r="J48" s="126">
        <f t="shared" si="3"/>
        <v>0</v>
      </c>
      <c r="K48" s="119">
        <f>-19455679/1000</f>
        <v>-19455.679</v>
      </c>
      <c r="L48" s="119">
        <v>218.8</v>
      </c>
      <c r="M48" s="117">
        <f t="shared" si="4"/>
        <v>19674.478999999999</v>
      </c>
      <c r="N48" s="121">
        <f t="shared" si="5"/>
        <v>-1.1246073704238235</v>
      </c>
      <c r="O48" s="127">
        <f t="shared" si="6"/>
        <v>7.6088468493531787</v>
      </c>
    </row>
    <row r="49" spans="1:15" ht="30.75" customHeight="1">
      <c r="A49" s="123" t="s">
        <v>93</v>
      </c>
      <c r="B49" s="124" t="s">
        <v>92</v>
      </c>
      <c r="C49" s="119">
        <f>1866.936</f>
        <v>1866.9359999999999</v>
      </c>
      <c r="D49" s="119">
        <v>2074.1</v>
      </c>
      <c r="E49" s="117">
        <f t="shared" si="0"/>
        <v>207.16399999999999</v>
      </c>
      <c r="F49" s="121">
        <f t="shared" si="1"/>
        <v>111.09647036641857</v>
      </c>
      <c r="G49" s="119">
        <f>1070.208</f>
        <v>1070.2080000000001</v>
      </c>
      <c r="H49" s="119">
        <v>53.1</v>
      </c>
      <c r="I49" s="117">
        <f t="shared" si="2"/>
        <v>-1017.1080000000001</v>
      </c>
      <c r="J49" s="126">
        <f t="shared" si="3"/>
        <v>4.9616523143164688</v>
      </c>
      <c r="K49" s="119">
        <f>-18262.544</f>
        <v>-18262.544000000002</v>
      </c>
      <c r="L49" s="119">
        <v>113.3</v>
      </c>
      <c r="M49" s="117">
        <f t="shared" si="4"/>
        <v>18375.844000000001</v>
      </c>
      <c r="N49" s="121">
        <f t="shared" si="5"/>
        <v>-0.62039549363987834</v>
      </c>
      <c r="O49" s="127">
        <f t="shared" si="6"/>
        <v>5.4626102887999615</v>
      </c>
    </row>
    <row r="50" spans="1:15" ht="27.75" customHeight="1">
      <c r="A50" s="125" t="s">
        <v>95</v>
      </c>
      <c r="B50" s="124" t="s">
        <v>94</v>
      </c>
      <c r="C50" s="197">
        <v>2171.0329999999999</v>
      </c>
      <c r="D50" s="197">
        <v>2351.5</v>
      </c>
      <c r="E50" s="117">
        <f t="shared" si="0"/>
        <v>180.4670000000001</v>
      </c>
      <c r="F50" s="121">
        <f t="shared" si="1"/>
        <v>108.31249455904171</v>
      </c>
      <c r="G50" s="119">
        <f>1319.079</f>
        <v>1319.079</v>
      </c>
      <c r="H50" s="119">
        <v>1401.4</v>
      </c>
      <c r="I50" s="117">
        <f t="shared" si="2"/>
        <v>82.32100000000014</v>
      </c>
      <c r="J50" s="126">
        <f t="shared" si="3"/>
        <v>106.24079376595337</v>
      </c>
      <c r="K50" s="119">
        <f>-11982.409</f>
        <v>-11982.409</v>
      </c>
      <c r="L50" s="119">
        <v>49.5</v>
      </c>
      <c r="M50" s="117">
        <f t="shared" si="4"/>
        <v>12031.909</v>
      </c>
      <c r="N50" s="121">
        <f t="shared" si="5"/>
        <v>-0.4131055783523998</v>
      </c>
      <c r="O50" s="127">
        <f t="shared" si="6"/>
        <v>2.1050393365936637</v>
      </c>
    </row>
    <row r="51" spans="1:15" ht="29.25" customHeight="1">
      <c r="A51" s="123" t="s">
        <v>97</v>
      </c>
      <c r="B51" s="124" t="s">
        <v>96</v>
      </c>
      <c r="C51" s="117">
        <v>2514.3939999999998</v>
      </c>
      <c r="D51" s="117">
        <v>2683.9</v>
      </c>
      <c r="E51" s="117">
        <f t="shared" si="0"/>
        <v>169.50600000000031</v>
      </c>
      <c r="F51" s="121">
        <f t="shared" si="1"/>
        <v>106.74142556814883</v>
      </c>
      <c r="G51" s="119">
        <f>1787.763</f>
        <v>1787.7629999999999</v>
      </c>
      <c r="H51" s="119"/>
      <c r="I51" s="117">
        <f t="shared" si="2"/>
        <v>-1787.7629999999999</v>
      </c>
      <c r="J51" s="126">
        <f t="shared" si="3"/>
        <v>0</v>
      </c>
      <c r="K51" s="119">
        <v>-20935.105</v>
      </c>
      <c r="L51" s="119">
        <v>-0.5</v>
      </c>
      <c r="M51" s="117">
        <f t="shared" si="4"/>
        <v>20934.605</v>
      </c>
      <c r="N51" s="121">
        <f t="shared" si="5"/>
        <v>2.3883328982586905E-3</v>
      </c>
      <c r="O51" s="127">
        <f>L51*100/D51</f>
        <v>-1.8629606170125563E-2</v>
      </c>
    </row>
    <row r="52" spans="1:15" ht="30" customHeight="1">
      <c r="A52" s="125" t="s">
        <v>99</v>
      </c>
      <c r="B52" s="124" t="s">
        <v>98</v>
      </c>
      <c r="C52" s="119">
        <v>2284.4</v>
      </c>
      <c r="D52" s="119">
        <v>2473.3510000000001</v>
      </c>
      <c r="E52" s="117">
        <f t="shared" si="0"/>
        <v>188.95100000000002</v>
      </c>
      <c r="F52" s="121">
        <f t="shared" si="1"/>
        <v>108.27136228331291</v>
      </c>
      <c r="G52" s="119">
        <v>2554.4</v>
      </c>
      <c r="H52" s="119">
        <v>2918.42</v>
      </c>
      <c r="I52" s="117">
        <f t="shared" si="2"/>
        <v>364.02</v>
      </c>
      <c r="J52" s="126">
        <f t="shared" si="3"/>
        <v>114.25070466645788</v>
      </c>
      <c r="K52" s="119">
        <v>39.200000000000003</v>
      </c>
      <c r="L52" s="119">
        <v>117.458</v>
      </c>
      <c r="M52" s="117">
        <f t="shared" si="4"/>
        <v>78.257999999999996</v>
      </c>
      <c r="N52" s="121">
        <f t="shared" si="5"/>
        <v>299.63775510204079</v>
      </c>
      <c r="O52" s="127">
        <f t="shared" si="6"/>
        <v>4.7489418202268903</v>
      </c>
    </row>
    <row r="53" spans="1:15" ht="27" customHeight="1">
      <c r="A53" s="123" t="s">
        <v>101</v>
      </c>
      <c r="B53" s="124" t="s">
        <v>100</v>
      </c>
      <c r="C53" s="119">
        <f>4314.905</f>
        <v>4314.9049999999997</v>
      </c>
      <c r="D53" s="119">
        <v>3761.1</v>
      </c>
      <c r="E53" s="117">
        <f t="shared" si="0"/>
        <v>-553.80499999999984</v>
      </c>
      <c r="F53" s="121">
        <f t="shared" si="1"/>
        <v>87.16530259646504</v>
      </c>
      <c r="G53" s="119">
        <f>2546.705</f>
        <v>2546.7049999999999</v>
      </c>
      <c r="H53" s="119">
        <v>2550</v>
      </c>
      <c r="I53" s="117">
        <f t="shared" si="2"/>
        <v>3.2950000000000728</v>
      </c>
      <c r="J53" s="126">
        <f t="shared" si="3"/>
        <v>100.12938286923692</v>
      </c>
      <c r="K53" s="119">
        <f>-991.737</f>
        <v>-991.73699999999997</v>
      </c>
      <c r="L53" s="119">
        <v>1085.9000000000001</v>
      </c>
      <c r="M53" s="117">
        <f t="shared" si="4"/>
        <v>2077.6370000000002</v>
      </c>
      <c r="N53" s="121">
        <f t="shared" si="5"/>
        <v>-109.49475516190282</v>
      </c>
      <c r="O53" s="127">
        <f t="shared" si="6"/>
        <v>28.871872590465561</v>
      </c>
    </row>
    <row r="54" spans="1:15" ht="24.75" customHeight="1">
      <c r="A54" s="125" t="s">
        <v>103</v>
      </c>
      <c r="B54" s="124" t="s">
        <v>102</v>
      </c>
      <c r="C54" s="119">
        <f>4114.556</f>
        <v>4114.5559999999996</v>
      </c>
      <c r="D54" s="119">
        <v>4212.6000000000004</v>
      </c>
      <c r="E54" s="117">
        <f t="shared" si="0"/>
        <v>98.044000000000779</v>
      </c>
      <c r="F54" s="121">
        <f t="shared" si="1"/>
        <v>102.38285734839923</v>
      </c>
      <c r="G54" s="119">
        <f>3139.159</f>
        <v>3139.1590000000001</v>
      </c>
      <c r="H54" s="119">
        <v>3194.1</v>
      </c>
      <c r="I54" s="117">
        <f t="shared" si="2"/>
        <v>54.940999999999804</v>
      </c>
      <c r="J54" s="126">
        <f t="shared" si="3"/>
        <v>101.7501821347692</v>
      </c>
      <c r="K54" s="119">
        <f>-1458.623</f>
        <v>-1458.623</v>
      </c>
      <c r="L54" s="119">
        <v>-64.400000000000006</v>
      </c>
      <c r="M54" s="117">
        <f t="shared" si="4"/>
        <v>1394.223</v>
      </c>
      <c r="N54" s="121">
        <f t="shared" si="5"/>
        <v>4.415123030419787</v>
      </c>
      <c r="O54" s="127">
        <f t="shared" si="6"/>
        <v>-1.528747092057162</v>
      </c>
    </row>
    <row r="55" spans="1:15" ht="26.25" customHeight="1">
      <c r="A55" s="123" t="s">
        <v>105</v>
      </c>
      <c r="B55" s="124" t="s">
        <v>104</v>
      </c>
      <c r="C55" s="119">
        <f>4247.081</f>
        <v>4247.0810000000001</v>
      </c>
      <c r="D55" s="119">
        <v>4221.6000000000004</v>
      </c>
      <c r="E55" s="117">
        <f t="shared" si="0"/>
        <v>-25.480999999999767</v>
      </c>
      <c r="F55" s="121">
        <f t="shared" si="1"/>
        <v>99.400034988736977</v>
      </c>
      <c r="G55" s="119">
        <f>3165.7</f>
        <v>3165.7</v>
      </c>
      <c r="H55" s="119">
        <v>3180</v>
      </c>
      <c r="I55" s="117">
        <f t="shared" si="2"/>
        <v>14.300000000000182</v>
      </c>
      <c r="J55" s="126">
        <f t="shared" si="3"/>
        <v>100.45171683987743</v>
      </c>
      <c r="K55" s="119">
        <f>-95.539</f>
        <v>-95.539000000000001</v>
      </c>
      <c r="L55" s="119">
        <v>-296.39999999999998</v>
      </c>
      <c r="M55" s="117">
        <f t="shared" si="4"/>
        <v>-200.86099999999999</v>
      </c>
      <c r="N55" s="121">
        <f t="shared" si="5"/>
        <v>310.23979736024029</v>
      </c>
      <c r="O55" s="127">
        <f t="shared" si="6"/>
        <v>-7.0210346787947682</v>
      </c>
    </row>
    <row r="56" spans="1:15" ht="27" customHeight="1">
      <c r="A56" s="125" t="s">
        <v>107</v>
      </c>
      <c r="B56" s="124" t="s">
        <v>106</v>
      </c>
      <c r="C56" s="119">
        <f>2568.897</f>
        <v>2568.8969999999999</v>
      </c>
      <c r="D56" s="119">
        <v>2611</v>
      </c>
      <c r="E56" s="117">
        <f t="shared" si="0"/>
        <v>42.103000000000065</v>
      </c>
      <c r="F56" s="121">
        <f t="shared" si="1"/>
        <v>101.63895243756367</v>
      </c>
      <c r="G56" s="119">
        <f>2304.491</f>
        <v>2304.491</v>
      </c>
      <c r="H56" s="119">
        <v>606.1</v>
      </c>
      <c r="I56" s="117">
        <f t="shared" si="2"/>
        <v>-1698.3910000000001</v>
      </c>
      <c r="J56" s="126">
        <f t="shared" si="3"/>
        <v>26.300818705735889</v>
      </c>
      <c r="K56" s="119">
        <f>-270.545</f>
        <v>-270.54500000000002</v>
      </c>
      <c r="L56" s="119">
        <v>-95.5</v>
      </c>
      <c r="M56" s="117">
        <f t="shared" si="4"/>
        <v>175.04500000000002</v>
      </c>
      <c r="N56" s="121">
        <f t="shared" si="5"/>
        <v>35.299118446099534</v>
      </c>
      <c r="O56" s="127">
        <f t="shared" si="6"/>
        <v>-3.6576024511681346</v>
      </c>
    </row>
    <row r="57" spans="1:15" ht="30" customHeight="1">
      <c r="A57" s="123" t="s">
        <v>109</v>
      </c>
      <c r="B57" s="124" t="s">
        <v>108</v>
      </c>
      <c r="C57" s="119">
        <f>2316.316</f>
        <v>2316.3159999999998</v>
      </c>
      <c r="D57" s="119">
        <v>2402.6</v>
      </c>
      <c r="E57" s="117">
        <f t="shared" si="0"/>
        <v>86.284000000000106</v>
      </c>
      <c r="F57" s="121">
        <f t="shared" si="1"/>
        <v>103.725053058391</v>
      </c>
      <c r="G57" s="119">
        <f>1484.196</f>
        <v>1484.1959999999999</v>
      </c>
      <c r="H57" s="119">
        <v>222.3</v>
      </c>
      <c r="I57" s="117">
        <f t="shared" si="2"/>
        <v>-1261.896</v>
      </c>
      <c r="J57" s="126">
        <f t="shared" si="3"/>
        <v>14.977806165762475</v>
      </c>
      <c r="K57" s="119">
        <f>-385.4</f>
        <v>-385.4</v>
      </c>
      <c r="L57" s="119">
        <v>-160.6</v>
      </c>
      <c r="M57" s="117">
        <f t="shared" si="4"/>
        <v>224.79999999999998</v>
      </c>
      <c r="N57" s="121">
        <f t="shared" si="5"/>
        <v>41.670991177996882</v>
      </c>
      <c r="O57" s="127">
        <f t="shared" si="6"/>
        <v>-6.6844252060268046</v>
      </c>
    </row>
    <row r="58" spans="1:15" ht="29.25" customHeight="1">
      <c r="A58" s="125" t="s">
        <v>111</v>
      </c>
      <c r="B58" s="124" t="s">
        <v>110</v>
      </c>
      <c r="C58" s="119">
        <f>3208.157</f>
        <v>3208.1570000000002</v>
      </c>
      <c r="D58" s="119">
        <v>3153.5</v>
      </c>
      <c r="E58" s="117">
        <f t="shared" si="0"/>
        <v>-54.657000000000153</v>
      </c>
      <c r="F58" s="121">
        <f t="shared" si="1"/>
        <v>98.296311558318365</v>
      </c>
      <c r="G58" s="119">
        <f>2369.624</f>
        <v>2369.6239999999998</v>
      </c>
      <c r="H58" s="119">
        <v>2038.4</v>
      </c>
      <c r="I58" s="117">
        <f t="shared" si="2"/>
        <v>-331.22399999999971</v>
      </c>
      <c r="J58" s="126">
        <f t="shared" si="3"/>
        <v>86.022086204393617</v>
      </c>
      <c r="K58" s="119">
        <f>-1110.897</f>
        <v>-1110.8969999999999</v>
      </c>
      <c r="L58" s="119">
        <v>-910.9</v>
      </c>
      <c r="M58" s="117">
        <f t="shared" si="4"/>
        <v>199.99699999999996</v>
      </c>
      <c r="N58" s="121">
        <f t="shared" si="5"/>
        <v>81.996800783510977</v>
      </c>
      <c r="O58" s="127">
        <f t="shared" si="6"/>
        <v>-28.885365466941494</v>
      </c>
    </row>
    <row r="59" spans="1:15" ht="27.75" customHeight="1">
      <c r="A59" s="123" t="s">
        <v>113</v>
      </c>
      <c r="B59" s="124" t="s">
        <v>112</v>
      </c>
      <c r="C59" s="119">
        <f>2743.946</f>
        <v>2743.9459999999999</v>
      </c>
      <c r="D59" s="119">
        <v>2843</v>
      </c>
      <c r="E59" s="117">
        <f t="shared" si="0"/>
        <v>99.054000000000087</v>
      </c>
      <c r="F59" s="121">
        <f>D59/C59*100</f>
        <v>103.60991069066228</v>
      </c>
      <c r="G59" s="119">
        <f>1879.436</f>
        <v>1879.4359999999999</v>
      </c>
      <c r="H59" s="119">
        <v>2013.3</v>
      </c>
      <c r="I59" s="117">
        <f t="shared" si="2"/>
        <v>133.86400000000003</v>
      </c>
      <c r="J59" s="126">
        <f>H59/G59*100</f>
        <v>107.12256230060508</v>
      </c>
      <c r="K59" s="119">
        <f>-1180.519</f>
        <v>-1180.519</v>
      </c>
      <c r="L59" s="119">
        <v>-313.3</v>
      </c>
      <c r="M59" s="117">
        <f t="shared" si="4"/>
        <v>867.21900000000005</v>
      </c>
      <c r="N59" s="121">
        <f t="shared" si="5"/>
        <v>26.539174718916001</v>
      </c>
      <c r="O59" s="127">
        <f t="shared" si="6"/>
        <v>-11.020049243756596</v>
      </c>
    </row>
    <row r="60" spans="1:15" ht="30" customHeight="1">
      <c r="A60" s="125" t="s">
        <v>115</v>
      </c>
      <c r="B60" s="124" t="s">
        <v>114</v>
      </c>
      <c r="C60" s="119">
        <v>4452.3</v>
      </c>
      <c r="D60" s="119">
        <v>4850</v>
      </c>
      <c r="E60" s="117">
        <f>D60-C60</f>
        <v>397.69999999999982</v>
      </c>
      <c r="F60" s="121">
        <f t="shared" si="1"/>
        <v>108.93246187363835</v>
      </c>
      <c r="G60" s="119">
        <v>2528.5</v>
      </c>
      <c r="H60" s="119">
        <v>2156.6999999999998</v>
      </c>
      <c r="I60" s="117">
        <f t="shared" si="2"/>
        <v>-371.80000000000018</v>
      </c>
      <c r="J60" s="126">
        <f t="shared" si="3"/>
        <v>85.295629820051417</v>
      </c>
      <c r="K60" s="119">
        <f>-953.5</f>
        <v>-953.5</v>
      </c>
      <c r="L60" s="119">
        <v>1088.2</v>
      </c>
      <c r="M60" s="117">
        <f t="shared" si="4"/>
        <v>2041.7</v>
      </c>
      <c r="N60" s="121">
        <f t="shared" si="5"/>
        <v>-114.12690089145255</v>
      </c>
      <c r="O60" s="127">
        <f t="shared" si="6"/>
        <v>22.437113402061854</v>
      </c>
    </row>
    <row r="61" spans="1:15" ht="27.75" customHeight="1">
      <c r="A61" s="123" t="s">
        <v>117</v>
      </c>
      <c r="B61" s="124" t="s">
        <v>116</v>
      </c>
      <c r="C61" s="119">
        <f>2833.748</f>
        <v>2833.748</v>
      </c>
      <c r="D61" s="119">
        <v>2785.2</v>
      </c>
      <c r="E61" s="117">
        <f t="shared" si="0"/>
        <v>-48.548000000000229</v>
      </c>
      <c r="F61" s="121">
        <f t="shared" si="1"/>
        <v>98.286791909513468</v>
      </c>
      <c r="G61" s="119">
        <f>1968.925</f>
        <v>1968.925</v>
      </c>
      <c r="H61" s="119">
        <v>1805.3</v>
      </c>
      <c r="I61" s="117">
        <f t="shared" si="2"/>
        <v>-163.625</v>
      </c>
      <c r="J61" s="225">
        <f t="shared" si="3"/>
        <v>91.68962758865878</v>
      </c>
      <c r="K61" s="119">
        <f>-57.895</f>
        <v>-57.895000000000003</v>
      </c>
      <c r="L61" s="119">
        <v>-788.3</v>
      </c>
      <c r="M61" s="117">
        <f t="shared" si="4"/>
        <v>-730.40499999999997</v>
      </c>
      <c r="N61" s="121">
        <f t="shared" si="5"/>
        <v>1361.6029018049917</v>
      </c>
      <c r="O61" s="127">
        <f t="shared" si="6"/>
        <v>-28.303173919287666</v>
      </c>
    </row>
    <row r="62" spans="1:15" ht="30" customHeight="1">
      <c r="A62" s="125" t="s">
        <v>119</v>
      </c>
      <c r="B62" s="124" t="s">
        <v>118</v>
      </c>
      <c r="C62" s="119">
        <f>1882.729</f>
        <v>1882.729</v>
      </c>
      <c r="D62" s="119">
        <v>1881.3</v>
      </c>
      <c r="E62" s="117">
        <f t="shared" si="0"/>
        <v>-1.4290000000000873</v>
      </c>
      <c r="F62" s="121">
        <f t="shared" si="1"/>
        <v>99.924099538489074</v>
      </c>
      <c r="G62" s="119">
        <f>1185.268</f>
        <v>1185.268</v>
      </c>
      <c r="H62" s="119">
        <v>1088</v>
      </c>
      <c r="I62" s="117">
        <f t="shared" si="2"/>
        <v>-97.268000000000029</v>
      </c>
      <c r="J62" s="128">
        <f t="shared" si="3"/>
        <v>91.793585923183613</v>
      </c>
      <c r="K62" s="119">
        <f>-48.789</f>
        <v>-48.789000000000001</v>
      </c>
      <c r="L62" s="119">
        <v>-499.2</v>
      </c>
      <c r="M62" s="117">
        <f t="shared" si="4"/>
        <v>-450.411</v>
      </c>
      <c r="N62" s="121">
        <f t="shared" si="5"/>
        <v>1023.181454836131</v>
      </c>
      <c r="O62" s="127">
        <f t="shared" si="6"/>
        <v>-26.534842927762718</v>
      </c>
    </row>
    <row r="63" spans="1:15" ht="26.25" customHeight="1">
      <c r="A63" s="123" t="s">
        <v>121</v>
      </c>
      <c r="B63" s="124" t="s">
        <v>120</v>
      </c>
      <c r="C63" s="119">
        <v>9466.9</v>
      </c>
      <c r="D63" s="119">
        <v>10749</v>
      </c>
      <c r="E63" s="117">
        <f t="shared" si="0"/>
        <v>1282.1000000000004</v>
      </c>
      <c r="F63" s="121">
        <f t="shared" si="1"/>
        <v>113.54297605340713</v>
      </c>
      <c r="G63" s="119">
        <v>8183.2</v>
      </c>
      <c r="H63" s="119">
        <v>9344.2999999999993</v>
      </c>
      <c r="I63" s="117">
        <f t="shared" si="2"/>
        <v>1161.0999999999995</v>
      </c>
      <c r="J63" s="128">
        <f t="shared" si="3"/>
        <v>114.18882588718348</v>
      </c>
      <c r="K63" s="119">
        <v>10.4</v>
      </c>
      <c r="L63" s="119">
        <v>27.8</v>
      </c>
      <c r="M63" s="117">
        <f t="shared" si="4"/>
        <v>17.399999999999999</v>
      </c>
      <c r="N63" s="121">
        <f t="shared" si="5"/>
        <v>267.30769230769226</v>
      </c>
      <c r="O63" s="127">
        <f t="shared" si="6"/>
        <v>0.25862870964740908</v>
      </c>
    </row>
    <row r="64" spans="1:15" ht="27" customHeight="1">
      <c r="A64" s="125" t="s">
        <v>123</v>
      </c>
      <c r="B64" s="124" t="s">
        <v>122</v>
      </c>
      <c r="C64" s="119">
        <v>6405</v>
      </c>
      <c r="D64" s="119">
        <v>7579.1</v>
      </c>
      <c r="E64" s="117">
        <f t="shared" si="0"/>
        <v>1174.1000000000004</v>
      </c>
      <c r="F64" s="121">
        <f t="shared" si="1"/>
        <v>118.33099141295864</v>
      </c>
      <c r="G64" s="119">
        <v>5683.3</v>
      </c>
      <c r="H64" s="119">
        <v>6820.2</v>
      </c>
      <c r="I64" s="117">
        <f t="shared" si="2"/>
        <v>1136.8999999999996</v>
      </c>
      <c r="J64" s="128">
        <f t="shared" si="3"/>
        <v>120.00422289866802</v>
      </c>
      <c r="K64" s="119">
        <v>12.651</v>
      </c>
      <c r="L64" s="119">
        <v>222.5</v>
      </c>
      <c r="M64" s="117">
        <f t="shared" si="4"/>
        <v>209.84899999999999</v>
      </c>
      <c r="N64" s="121">
        <f t="shared" si="5"/>
        <v>1758.7542486759939</v>
      </c>
      <c r="O64" s="127">
        <f t="shared" si="6"/>
        <v>2.9357047670567744</v>
      </c>
    </row>
    <row r="65" spans="1:17" ht="32.25" customHeight="1">
      <c r="A65" s="123" t="s">
        <v>125</v>
      </c>
      <c r="B65" s="124" t="s">
        <v>124</v>
      </c>
      <c r="C65" s="119">
        <v>3035.7</v>
      </c>
      <c r="D65" s="119">
        <v>3252.1</v>
      </c>
      <c r="E65" s="117">
        <f t="shared" si="0"/>
        <v>216.40000000000009</v>
      </c>
      <c r="F65" s="121">
        <f t="shared" si="1"/>
        <v>107.1285041341371</v>
      </c>
      <c r="G65" s="119">
        <f>1922.854</f>
        <v>1922.854</v>
      </c>
      <c r="H65" s="119">
        <v>2038.9</v>
      </c>
      <c r="I65" s="117">
        <f t="shared" si="2"/>
        <v>116.04600000000005</v>
      </c>
      <c r="J65" s="128">
        <f t="shared" si="3"/>
        <v>106.03509158781685</v>
      </c>
      <c r="K65" s="119">
        <v>6.343</v>
      </c>
      <c r="L65" s="119">
        <v>-81.5</v>
      </c>
      <c r="M65" s="117">
        <f t="shared" si="4"/>
        <v>-87.843000000000004</v>
      </c>
      <c r="N65" s="121">
        <f t="shared" si="5"/>
        <v>-1284.8809711492984</v>
      </c>
      <c r="O65" s="127">
        <f t="shared" si="6"/>
        <v>-2.506072998985271</v>
      </c>
    </row>
    <row r="66" spans="1:17" ht="30" customHeight="1">
      <c r="A66" s="125" t="s">
        <v>127</v>
      </c>
      <c r="B66" s="124" t="s">
        <v>126</v>
      </c>
      <c r="C66" s="119">
        <f>3712.912</f>
        <v>3712.9119999999998</v>
      </c>
      <c r="D66" s="119">
        <v>4079.9</v>
      </c>
      <c r="E66" s="117">
        <f t="shared" si="0"/>
        <v>366.98800000000028</v>
      </c>
      <c r="F66" s="121">
        <f t="shared" si="1"/>
        <v>109.88410175086294</v>
      </c>
      <c r="G66" s="119">
        <f>3093.7</f>
        <v>3093.7</v>
      </c>
      <c r="H66" s="119">
        <v>3551.4</v>
      </c>
      <c r="I66" s="117">
        <f t="shared" si="2"/>
        <v>457.70000000000027</v>
      </c>
      <c r="J66" s="128">
        <f t="shared" si="3"/>
        <v>114.79458253870772</v>
      </c>
      <c r="K66" s="119">
        <v>62.8</v>
      </c>
      <c r="L66" s="119">
        <v>9.4</v>
      </c>
      <c r="M66" s="117">
        <f t="shared" si="4"/>
        <v>-53.4</v>
      </c>
      <c r="N66" s="121">
        <f t="shared" si="5"/>
        <v>14.96815286624204</v>
      </c>
      <c r="O66" s="127">
        <f t="shared" si="6"/>
        <v>0.23039780386774186</v>
      </c>
    </row>
    <row r="67" spans="1:17" ht="27.75" customHeight="1" thickBot="1">
      <c r="A67" s="123" t="s">
        <v>131</v>
      </c>
      <c r="B67" s="194" t="s">
        <v>128</v>
      </c>
      <c r="C67" s="211">
        <f>5899.677</f>
        <v>5899.6769999999997</v>
      </c>
      <c r="D67" s="211">
        <v>6224.9</v>
      </c>
      <c r="E67" s="195">
        <f t="shared" si="0"/>
        <v>325.22299999999996</v>
      </c>
      <c r="F67" s="196">
        <f t="shared" si="1"/>
        <v>105.51255602637228</v>
      </c>
      <c r="G67" s="211">
        <f>5275.697</f>
        <v>5275.6970000000001</v>
      </c>
      <c r="H67" s="211">
        <v>5654.6</v>
      </c>
      <c r="I67" s="195">
        <f t="shared" si="2"/>
        <v>378.90300000000025</v>
      </c>
      <c r="J67" s="226">
        <f t="shared" si="3"/>
        <v>107.18204627748713</v>
      </c>
      <c r="K67" s="227">
        <f>174.122</f>
        <v>174.12200000000001</v>
      </c>
      <c r="L67" s="227">
        <v>23</v>
      </c>
      <c r="M67" s="228">
        <f t="shared" si="4"/>
        <v>-151.12200000000001</v>
      </c>
      <c r="N67" s="229">
        <f t="shared" si="5"/>
        <v>13.209129231228678</v>
      </c>
      <c r="O67" s="199">
        <f t="shared" si="6"/>
        <v>0.36948384713007443</v>
      </c>
    </row>
    <row r="68" spans="1:17" s="223" customFormat="1" ht="27" customHeight="1" thickBot="1">
      <c r="A68" s="289" t="s">
        <v>129</v>
      </c>
      <c r="B68" s="290"/>
      <c r="C68" s="230">
        <f t="shared" ref="C68:D68" si="15">SUM(C40:C67)</f>
        <v>100391.66399999999</v>
      </c>
      <c r="D68" s="230">
        <f t="shared" si="15"/>
        <v>106109.851</v>
      </c>
      <c r="E68" s="201">
        <f>D68-C68</f>
        <v>5718.1870000000054</v>
      </c>
      <c r="F68" s="202">
        <f t="shared" si="1"/>
        <v>105.69587829523377</v>
      </c>
      <c r="G68" s="230">
        <f t="shared" ref="G68:H68" si="16">SUM(G40:G67)</f>
        <v>72444.263999999996</v>
      </c>
      <c r="H68" s="230">
        <f t="shared" si="16"/>
        <v>68997.12000000001</v>
      </c>
      <c r="I68" s="201">
        <f t="shared" si="2"/>
        <v>-3447.1439999999857</v>
      </c>
      <c r="J68" s="231">
        <f t="shared" si="3"/>
        <v>95.241660540577811</v>
      </c>
      <c r="K68" s="230">
        <f t="shared" ref="K68:L68" si="17">SUM(K40:K67)</f>
        <v>-149259.97599999994</v>
      </c>
      <c r="L68" s="230">
        <f t="shared" si="17"/>
        <v>-21547.042000000005</v>
      </c>
      <c r="M68" s="201">
        <f t="shared" si="4"/>
        <v>127712.93399999994</v>
      </c>
      <c r="N68" s="202">
        <f t="shared" si="5"/>
        <v>14.435914152900583</v>
      </c>
      <c r="O68" s="222">
        <f t="shared" si="6"/>
        <v>-20.306354025508909</v>
      </c>
    </row>
    <row r="69" spans="1:17" s="223" customFormat="1" ht="25.5" customHeight="1" thickBot="1">
      <c r="A69" s="289" t="s">
        <v>130</v>
      </c>
      <c r="B69" s="290"/>
      <c r="C69" s="230">
        <f>C68+C39+C33+C27+C10</f>
        <v>1162752.5489999999</v>
      </c>
      <c r="D69" s="230">
        <f>D68+D39+D33+D27+D10</f>
        <v>1298654.7250000001</v>
      </c>
      <c r="E69" s="201">
        <f t="shared" si="0"/>
        <v>135902.17600000021</v>
      </c>
      <c r="F69" s="202">
        <f t="shared" si="1"/>
        <v>111.68797059330294</v>
      </c>
      <c r="G69" s="230">
        <f>G68+G39+G33+G27+G10</f>
        <v>1011336.937</v>
      </c>
      <c r="H69" s="230">
        <f>H68+H39+H33+H27+H10</f>
        <v>1097024.574</v>
      </c>
      <c r="I69" s="201">
        <f t="shared" si="2"/>
        <v>85687.636999999988</v>
      </c>
      <c r="J69" s="231">
        <f t="shared" si="3"/>
        <v>108.47270913036968</v>
      </c>
      <c r="K69" s="230">
        <f>K68+K39+K33+K27+K10</f>
        <v>-168711.26799999995</v>
      </c>
      <c r="L69" s="230">
        <f>L68+L39+L33+L27+L10</f>
        <v>-24824.566000000003</v>
      </c>
      <c r="M69" s="201">
        <f t="shared" si="4"/>
        <v>143886.70199999996</v>
      </c>
      <c r="N69" s="202">
        <f t="shared" si="5"/>
        <v>14.714231179864058</v>
      </c>
      <c r="O69" s="204">
        <f t="shared" si="6"/>
        <v>-1.9115601338916315</v>
      </c>
    </row>
    <row r="70" spans="1:17" ht="29.25" customHeight="1">
      <c r="A70" s="125" t="s">
        <v>133</v>
      </c>
      <c r="B70" s="189" t="s">
        <v>132</v>
      </c>
      <c r="C70" s="216">
        <f>110714.788</f>
        <v>110714.788</v>
      </c>
      <c r="D70" s="216">
        <v>110887.8</v>
      </c>
      <c r="E70" s="206">
        <f t="shared" si="0"/>
        <v>173.01200000000244</v>
      </c>
      <c r="F70" s="207">
        <f t="shared" si="1"/>
        <v>100.1562681942723</v>
      </c>
      <c r="G70" s="216">
        <f>99129.742</f>
        <v>99129.741999999998</v>
      </c>
      <c r="H70" s="216">
        <v>107332</v>
      </c>
      <c r="I70" s="206">
        <f t="shared" si="2"/>
        <v>8202.2580000000016</v>
      </c>
      <c r="J70" s="240">
        <f t="shared" si="3"/>
        <v>108.2742654570815</v>
      </c>
      <c r="K70" s="216">
        <f>828.108</f>
        <v>828.10799999999995</v>
      </c>
      <c r="L70" s="216">
        <v>-6814.9</v>
      </c>
      <c r="M70" s="206">
        <f t="shared" si="4"/>
        <v>-7643.0079999999998</v>
      </c>
      <c r="N70" s="207">
        <f t="shared" si="5"/>
        <v>-822.94821448410107</v>
      </c>
      <c r="O70" s="127">
        <f t="shared" si="6"/>
        <v>-6.1457617519691077</v>
      </c>
      <c r="Q70" s="255"/>
    </row>
    <row r="71" spans="1:17" ht="40.5">
      <c r="A71" s="123" t="s">
        <v>135</v>
      </c>
      <c r="B71" s="124" t="s">
        <v>134</v>
      </c>
      <c r="C71" s="119">
        <f>64526.871</f>
        <v>64526.870999999999</v>
      </c>
      <c r="D71" s="119">
        <v>66173.399999999994</v>
      </c>
      <c r="E71" s="117">
        <f t="shared" si="0"/>
        <v>1646.528999999995</v>
      </c>
      <c r="F71" s="121">
        <f t="shared" si="1"/>
        <v>102.5516950914914</v>
      </c>
      <c r="G71" s="119">
        <f>51994.253</f>
        <v>51994.252999999997</v>
      </c>
      <c r="H71" s="119">
        <v>53534.3</v>
      </c>
      <c r="I71" s="117">
        <f t="shared" si="2"/>
        <v>1540.0470000000059</v>
      </c>
      <c r="J71" s="128">
        <f t="shared" si="3"/>
        <v>102.96195619927457</v>
      </c>
      <c r="K71" s="119">
        <f>4062.58</f>
        <v>4062.58</v>
      </c>
      <c r="L71" s="119">
        <v>1476.8</v>
      </c>
      <c r="M71" s="117">
        <f t="shared" si="4"/>
        <v>-2585.7799999999997</v>
      </c>
      <c r="N71" s="121">
        <f t="shared" si="5"/>
        <v>36.351284159327321</v>
      </c>
      <c r="O71" s="127">
        <f t="shared" si="6"/>
        <v>2.2317124403461213</v>
      </c>
      <c r="Q71" s="255"/>
    </row>
    <row r="72" spans="1:17" ht="40.5">
      <c r="A72" s="125" t="s">
        <v>137</v>
      </c>
      <c r="B72" s="124" t="s">
        <v>136</v>
      </c>
      <c r="C72" s="119">
        <f>165470.48</f>
        <v>165470.48000000001</v>
      </c>
      <c r="D72" s="119">
        <v>169544.81200000001</v>
      </c>
      <c r="E72" s="117">
        <f t="shared" si="0"/>
        <v>4074.3319999999949</v>
      </c>
      <c r="F72" s="121">
        <f t="shared" si="1"/>
        <v>102.4622712159897</v>
      </c>
      <c r="G72" s="119">
        <f>152607.61</f>
        <v>152607.60999999999</v>
      </c>
      <c r="H72" s="119">
        <v>162038.53</v>
      </c>
      <c r="I72" s="117">
        <f t="shared" si="2"/>
        <v>9430.9200000000128</v>
      </c>
      <c r="J72" s="128">
        <f t="shared" si="3"/>
        <v>106.17984909140507</v>
      </c>
      <c r="K72" s="119">
        <f>-3888.09</f>
        <v>-3888.09</v>
      </c>
      <c r="L72" s="119">
        <v>-9203.9850000000006</v>
      </c>
      <c r="M72" s="117">
        <f t="shared" si="4"/>
        <v>-5315.8950000000004</v>
      </c>
      <c r="N72" s="121">
        <f t="shared" si="5"/>
        <v>236.72252957107474</v>
      </c>
      <c r="O72" s="127">
        <f t="shared" si="6"/>
        <v>-5.428644434133437</v>
      </c>
      <c r="Q72" s="255"/>
    </row>
    <row r="73" spans="1:17" ht="30.75" customHeight="1">
      <c r="A73" s="123" t="s">
        <v>139</v>
      </c>
      <c r="B73" s="124" t="s">
        <v>138</v>
      </c>
      <c r="C73" s="119">
        <f>11300.562</f>
        <v>11300.562</v>
      </c>
      <c r="D73" s="119">
        <v>11159.6</v>
      </c>
      <c r="E73" s="117">
        <f t="shared" ref="E73:E88" si="18">D73-C73</f>
        <v>-140.96199999999953</v>
      </c>
      <c r="F73" s="121">
        <f t="shared" ref="F73:F88" si="19">D73/C73*100</f>
        <v>98.752610710865525</v>
      </c>
      <c r="G73" s="119">
        <f>10819.831</f>
        <v>10819.831</v>
      </c>
      <c r="H73" s="119">
        <v>9186</v>
      </c>
      <c r="I73" s="117">
        <f t="shared" ref="I73:I88" si="20">H73-G73</f>
        <v>-1633.8310000000001</v>
      </c>
      <c r="J73" s="128">
        <f t="shared" ref="J73:J88" si="21">H73/G73*100</f>
        <v>84.899662480865004</v>
      </c>
      <c r="K73" s="119">
        <f>-173.585</f>
        <v>-173.58500000000001</v>
      </c>
      <c r="L73" s="119">
        <v>-1764.2</v>
      </c>
      <c r="M73" s="117">
        <f t="shared" ref="M73:M88" si="22">L73-K73</f>
        <v>-1590.615</v>
      </c>
      <c r="N73" s="121">
        <f t="shared" ref="N73:N88" si="23">L73/K73*100</f>
        <v>1016.3320563412738</v>
      </c>
      <c r="O73" s="127">
        <f t="shared" ref="O73:O88" si="24">L73*100/D73</f>
        <v>-15.808810351625505</v>
      </c>
    </row>
    <row r="74" spans="1:17" ht="40.5">
      <c r="A74" s="125" t="s">
        <v>141</v>
      </c>
      <c r="B74" s="124" t="s">
        <v>140</v>
      </c>
      <c r="C74" s="119">
        <f>64444.874</f>
        <v>64444.874000000003</v>
      </c>
      <c r="D74" s="119">
        <v>63950.77</v>
      </c>
      <c r="E74" s="117">
        <f t="shared" si="18"/>
        <v>-494.10400000000664</v>
      </c>
      <c r="F74" s="121">
        <f t="shared" si="19"/>
        <v>99.233292007057059</v>
      </c>
      <c r="G74" s="119">
        <f>16889.028</f>
        <v>16889.027999999998</v>
      </c>
      <c r="H74" s="119">
        <v>15881.394</v>
      </c>
      <c r="I74" s="117">
        <f t="shared" si="20"/>
        <v>-1007.6339999999982</v>
      </c>
      <c r="J74" s="128">
        <f t="shared" si="21"/>
        <v>94.033795195318532</v>
      </c>
      <c r="K74" s="119">
        <f>-2851.594</f>
        <v>-2851.5940000000001</v>
      </c>
      <c r="L74" s="119">
        <v>-3223.3380000000002</v>
      </c>
      <c r="M74" s="117">
        <f t="shared" si="22"/>
        <v>-371.74400000000014</v>
      </c>
      <c r="N74" s="121">
        <f t="shared" si="23"/>
        <v>113.03635791069837</v>
      </c>
      <c r="O74" s="127">
        <f t="shared" si="24"/>
        <v>-5.0403427511506127</v>
      </c>
    </row>
    <row r="75" spans="1:17" ht="40.5">
      <c r="A75" s="123" t="s">
        <v>143</v>
      </c>
      <c r="B75" s="124" t="s">
        <v>142</v>
      </c>
      <c r="C75" s="119">
        <f>17405.144</f>
        <v>17405.144</v>
      </c>
      <c r="D75" s="119">
        <v>17627.900000000001</v>
      </c>
      <c r="E75" s="117">
        <f t="shared" si="18"/>
        <v>222.75600000000122</v>
      </c>
      <c r="F75" s="121">
        <f t="shared" si="19"/>
        <v>101.279828538046</v>
      </c>
      <c r="G75" s="119">
        <f>17760.738</f>
        <v>17760.738000000001</v>
      </c>
      <c r="H75" s="119">
        <v>18055.599999999999</v>
      </c>
      <c r="I75" s="117">
        <f t="shared" si="20"/>
        <v>294.86199999999735</v>
      </c>
      <c r="J75" s="128">
        <f t="shared" si="21"/>
        <v>101.66019002138312</v>
      </c>
      <c r="K75" s="119">
        <f>-1760.267</f>
        <v>-1760.2670000000001</v>
      </c>
      <c r="L75" s="119">
        <v>-2227.748</v>
      </c>
      <c r="M75" s="117">
        <f t="shared" si="22"/>
        <v>-467.48099999999999</v>
      </c>
      <c r="N75" s="121">
        <f t="shared" si="23"/>
        <v>126.55739157752772</v>
      </c>
      <c r="O75" s="127">
        <f t="shared" si="24"/>
        <v>-12.637625582173714</v>
      </c>
    </row>
    <row r="76" spans="1:17" ht="40.5">
      <c r="A76" s="125" t="s">
        <v>145</v>
      </c>
      <c r="B76" s="124" t="s">
        <v>144</v>
      </c>
      <c r="C76" s="119">
        <f>24762.892</f>
        <v>24762.892</v>
      </c>
      <c r="D76" s="119">
        <v>25691.203000000001</v>
      </c>
      <c r="E76" s="117">
        <f t="shared" si="18"/>
        <v>928.31100000000151</v>
      </c>
      <c r="F76" s="121">
        <f t="shared" si="19"/>
        <v>103.74879880750601</v>
      </c>
      <c r="G76" s="119">
        <f>22991.043</f>
        <v>22991.043000000001</v>
      </c>
      <c r="H76" s="119">
        <v>23126.710999999999</v>
      </c>
      <c r="I76" s="117">
        <f t="shared" si="20"/>
        <v>135.66799999999785</v>
      </c>
      <c r="J76" s="128">
        <f t="shared" si="21"/>
        <v>100.59009067139755</v>
      </c>
      <c r="K76" s="119">
        <f>-1022.58</f>
        <v>-1022.58</v>
      </c>
      <c r="L76" s="119">
        <v>-298.173</v>
      </c>
      <c r="M76" s="117">
        <f t="shared" si="22"/>
        <v>724.40700000000004</v>
      </c>
      <c r="N76" s="121">
        <f t="shared" si="23"/>
        <v>29.15889221381212</v>
      </c>
      <c r="O76" s="127">
        <f t="shared" si="24"/>
        <v>-1.1606034952898079</v>
      </c>
    </row>
    <row r="77" spans="1:17" ht="40.5">
      <c r="A77" s="123" t="s">
        <v>147</v>
      </c>
      <c r="B77" s="124" t="s">
        <v>146</v>
      </c>
      <c r="C77" s="119">
        <f>25863.191</f>
        <v>25863.190999999999</v>
      </c>
      <c r="D77" s="119">
        <v>26004.5</v>
      </c>
      <c r="E77" s="117">
        <f t="shared" si="18"/>
        <v>141.30900000000111</v>
      </c>
      <c r="F77" s="121">
        <f t="shared" si="19"/>
        <v>100.54637109550791</v>
      </c>
      <c r="G77" s="119">
        <f>28567.425</f>
        <v>28567.424999999999</v>
      </c>
      <c r="H77" s="119">
        <v>27763.9</v>
      </c>
      <c r="I77" s="117">
        <f t="shared" si="20"/>
        <v>-803.52499999999782</v>
      </c>
      <c r="J77" s="128">
        <f t="shared" si="21"/>
        <v>97.18726836597979</v>
      </c>
      <c r="K77" s="119">
        <f>-4087.375</f>
        <v>-4087.375</v>
      </c>
      <c r="L77" s="119">
        <v>-3149.0920000000001</v>
      </c>
      <c r="M77" s="117">
        <f t="shared" si="22"/>
        <v>938.2829999999999</v>
      </c>
      <c r="N77" s="121">
        <f t="shared" si="23"/>
        <v>77.044362212911707</v>
      </c>
      <c r="O77" s="127">
        <f t="shared" si="24"/>
        <v>-12.109796381395528</v>
      </c>
    </row>
    <row r="78" spans="1:17">
      <c r="A78" s="125" t="s">
        <v>149</v>
      </c>
      <c r="B78" s="124" t="s">
        <v>148</v>
      </c>
      <c r="C78" s="119">
        <v>8877.1</v>
      </c>
      <c r="D78" s="119">
        <v>7836.5</v>
      </c>
      <c r="E78" s="117">
        <f t="shared" si="18"/>
        <v>-1040.6000000000004</v>
      </c>
      <c r="F78" s="121">
        <f t="shared" si="19"/>
        <v>88.277703304006934</v>
      </c>
      <c r="G78" s="119">
        <v>8081.3</v>
      </c>
      <c r="H78" s="119">
        <v>8603.9</v>
      </c>
      <c r="I78" s="117">
        <f t="shared" si="20"/>
        <v>522.59999999999945</v>
      </c>
      <c r="J78" s="128">
        <f t="shared" si="21"/>
        <v>106.46678133468623</v>
      </c>
      <c r="K78" s="119">
        <f>-505.4</f>
        <v>-505.4</v>
      </c>
      <c r="L78" s="119">
        <v>-1609.5</v>
      </c>
      <c r="M78" s="117">
        <f t="shared" si="22"/>
        <v>-1104.0999999999999</v>
      </c>
      <c r="N78" s="121">
        <f t="shared" si="23"/>
        <v>318.46062524732884</v>
      </c>
      <c r="O78" s="127">
        <f t="shared" si="24"/>
        <v>-20.538505710457475</v>
      </c>
    </row>
    <row r="79" spans="1:17" ht="40.5">
      <c r="A79" s="123" t="s">
        <v>151</v>
      </c>
      <c r="B79" s="124" t="s">
        <v>152</v>
      </c>
      <c r="C79" s="119">
        <f>13416.574</f>
        <v>13416.574000000001</v>
      </c>
      <c r="D79" s="119">
        <v>14165.7</v>
      </c>
      <c r="E79" s="117">
        <f t="shared" si="18"/>
        <v>749.1260000000002</v>
      </c>
      <c r="F79" s="121">
        <f t="shared" si="19"/>
        <v>105.58358639098178</v>
      </c>
      <c r="G79" s="119">
        <f>12125.04</f>
        <v>12125.04</v>
      </c>
      <c r="H79" s="119">
        <v>12231.6</v>
      </c>
      <c r="I79" s="117">
        <f t="shared" si="20"/>
        <v>106.55999999999949</v>
      </c>
      <c r="J79" s="241">
        <f t="shared" si="21"/>
        <v>100.87884246155063</v>
      </c>
      <c r="K79" s="119">
        <f>-400.999</f>
        <v>-400.99900000000002</v>
      </c>
      <c r="L79" s="119">
        <v>33.700000000000003</v>
      </c>
      <c r="M79" s="117">
        <f t="shared" si="22"/>
        <v>434.69900000000001</v>
      </c>
      <c r="N79" s="121">
        <f t="shared" si="23"/>
        <v>-8.4040109825710285</v>
      </c>
      <c r="O79" s="127">
        <f t="shared" si="24"/>
        <v>0.23789858602116382</v>
      </c>
    </row>
    <row r="80" spans="1:17" ht="40.5">
      <c r="A80" s="125" t="s">
        <v>153</v>
      </c>
      <c r="B80" s="124" t="s">
        <v>154</v>
      </c>
      <c r="C80" s="119">
        <v>17833.2</v>
      </c>
      <c r="D80" s="119">
        <v>17928.5</v>
      </c>
      <c r="E80" s="117">
        <f t="shared" si="18"/>
        <v>95.299999999999272</v>
      </c>
      <c r="F80" s="121">
        <f t="shared" si="19"/>
        <v>100.53439651885247</v>
      </c>
      <c r="G80" s="119">
        <v>12655.5</v>
      </c>
      <c r="H80" s="119">
        <v>13337.1</v>
      </c>
      <c r="I80" s="117">
        <f t="shared" si="20"/>
        <v>681.60000000000036</v>
      </c>
      <c r="J80" s="241">
        <f t="shared" si="21"/>
        <v>105.38580064003793</v>
      </c>
      <c r="K80" s="119">
        <v>2785.6</v>
      </c>
      <c r="L80" s="119">
        <v>2127.6999999999998</v>
      </c>
      <c r="M80" s="117">
        <f t="shared" si="22"/>
        <v>-657.90000000000009</v>
      </c>
      <c r="N80" s="121">
        <f t="shared" si="23"/>
        <v>76.38210798391728</v>
      </c>
      <c r="O80" s="127">
        <f t="shared" si="24"/>
        <v>11.867696684050532</v>
      </c>
    </row>
    <row r="81" spans="1:15" ht="40.5">
      <c r="A81" s="123" t="s">
        <v>155</v>
      </c>
      <c r="B81" s="124" t="s">
        <v>156</v>
      </c>
      <c r="C81" s="119">
        <f>101080.474</f>
        <v>101080.474</v>
      </c>
      <c r="D81" s="119">
        <v>105265.60000000001</v>
      </c>
      <c r="E81" s="117">
        <f t="shared" si="18"/>
        <v>4185.1260000000038</v>
      </c>
      <c r="F81" s="121">
        <f t="shared" si="19"/>
        <v>104.14039016081385</v>
      </c>
      <c r="G81" s="242">
        <v>91789.737999999998</v>
      </c>
      <c r="H81" s="242">
        <v>94667.4</v>
      </c>
      <c r="I81" s="117">
        <f t="shared" si="20"/>
        <v>2877.6619999999966</v>
      </c>
      <c r="J81" s="241">
        <f t="shared" si="21"/>
        <v>103.13505851819731</v>
      </c>
      <c r="K81" s="119">
        <f>3515.209</f>
        <v>3515.2089999999998</v>
      </c>
      <c r="L81" s="119">
        <v>4416.7</v>
      </c>
      <c r="M81" s="117">
        <f t="shared" si="22"/>
        <v>901.49099999999999</v>
      </c>
      <c r="N81" s="121">
        <f t="shared" si="23"/>
        <v>125.64544526370977</v>
      </c>
      <c r="O81" s="127">
        <f t="shared" si="24"/>
        <v>4.1957676581903298</v>
      </c>
    </row>
    <row r="82" spans="1:15" ht="40.5">
      <c r="A82" s="125" t="s">
        <v>157</v>
      </c>
      <c r="B82" s="249" t="s">
        <v>158</v>
      </c>
      <c r="C82" s="119">
        <v>68400.399999999994</v>
      </c>
      <c r="D82" s="243">
        <v>72624.100000000006</v>
      </c>
      <c r="E82" s="117">
        <f t="shared" si="18"/>
        <v>4223.7000000000116</v>
      </c>
      <c r="F82" s="121">
        <f t="shared" si="19"/>
        <v>106.17496388910008</v>
      </c>
      <c r="G82" s="119">
        <v>65722.8</v>
      </c>
      <c r="H82" s="119">
        <v>66974.3</v>
      </c>
      <c r="I82" s="117">
        <f t="shared" si="20"/>
        <v>1251.5</v>
      </c>
      <c r="J82" s="241">
        <f t="shared" si="21"/>
        <v>101.90420980238213</v>
      </c>
      <c r="K82" s="119">
        <v>-3471.4</v>
      </c>
      <c r="L82" s="119">
        <v>-3202.5</v>
      </c>
      <c r="M82" s="117">
        <f t="shared" si="22"/>
        <v>268.90000000000009</v>
      </c>
      <c r="N82" s="121">
        <f t="shared" si="23"/>
        <v>92.25384571066428</v>
      </c>
      <c r="O82" s="127">
        <f t="shared" si="24"/>
        <v>-4.4096932010172925</v>
      </c>
    </row>
    <row r="83" spans="1:15" ht="40.5">
      <c r="A83" s="123" t="s">
        <v>159</v>
      </c>
      <c r="B83" s="124" t="s">
        <v>160</v>
      </c>
      <c r="C83" s="119">
        <f>74622.584</f>
        <v>74622.584000000003</v>
      </c>
      <c r="D83" s="119">
        <v>77330.2</v>
      </c>
      <c r="E83" s="117">
        <f t="shared" si="18"/>
        <v>2707.6159999999945</v>
      </c>
      <c r="F83" s="121">
        <f t="shared" si="19"/>
        <v>103.62841361805428</v>
      </c>
      <c r="G83" s="119">
        <f>63481.855</f>
        <v>63481.855000000003</v>
      </c>
      <c r="H83" s="119">
        <v>65778.100000000006</v>
      </c>
      <c r="I83" s="117">
        <f t="shared" si="20"/>
        <v>2296.2450000000026</v>
      </c>
      <c r="J83" s="241">
        <f t="shared" si="21"/>
        <v>103.61716745674808</v>
      </c>
      <c r="K83" s="119">
        <f>2707.856</f>
        <v>2707.8560000000002</v>
      </c>
      <c r="L83" s="119">
        <v>3540.9</v>
      </c>
      <c r="M83" s="117">
        <f t="shared" si="22"/>
        <v>833.04399999999987</v>
      </c>
      <c r="N83" s="121">
        <f t="shared" si="23"/>
        <v>130.76396972364853</v>
      </c>
      <c r="O83" s="127">
        <f t="shared" si="24"/>
        <v>4.578935525835961</v>
      </c>
    </row>
    <row r="84" spans="1:15" ht="40.5">
      <c r="A84" s="125" t="s">
        <v>161</v>
      </c>
      <c r="B84" s="124" t="s">
        <v>162</v>
      </c>
      <c r="C84" s="119">
        <f>64569.817</f>
        <v>64569.817000000003</v>
      </c>
      <c r="D84" s="119">
        <v>63617.4</v>
      </c>
      <c r="E84" s="117">
        <f t="shared" si="18"/>
        <v>-952.41700000000128</v>
      </c>
      <c r="F84" s="121">
        <f t="shared" si="19"/>
        <v>98.524981106884653</v>
      </c>
      <c r="G84" s="119">
        <f>55541.157</f>
        <v>55541.156999999999</v>
      </c>
      <c r="H84" s="119">
        <v>54607.199999999997</v>
      </c>
      <c r="I84" s="117">
        <f t="shared" si="20"/>
        <v>-933.95700000000215</v>
      </c>
      <c r="J84" s="241">
        <f t="shared" si="21"/>
        <v>98.31844158377902</v>
      </c>
      <c r="K84" s="119">
        <f>-1901.372</f>
        <v>-1901.3720000000001</v>
      </c>
      <c r="L84" s="119">
        <v>-2899.8</v>
      </c>
      <c r="M84" s="117">
        <f t="shared" si="22"/>
        <v>-998.42800000000011</v>
      </c>
      <c r="N84" s="121">
        <f t="shared" si="23"/>
        <v>152.51092369089267</v>
      </c>
      <c r="O84" s="127">
        <f t="shared" si="24"/>
        <v>-4.5581869111280877</v>
      </c>
    </row>
    <row r="85" spans="1:15" ht="40.5">
      <c r="A85" s="123" t="s">
        <v>163</v>
      </c>
      <c r="B85" s="124" t="s">
        <v>164</v>
      </c>
      <c r="C85" s="119">
        <f>80666.796</f>
        <v>80666.796000000002</v>
      </c>
      <c r="D85" s="119">
        <v>86589.119000000006</v>
      </c>
      <c r="E85" s="117">
        <f t="shared" si="18"/>
        <v>5922.323000000004</v>
      </c>
      <c r="F85" s="121">
        <f t="shared" si="19"/>
        <v>107.34171095626508</v>
      </c>
      <c r="G85" s="119">
        <f>76630.854</f>
        <v>76630.854000000007</v>
      </c>
      <c r="H85" s="119">
        <v>79819.399999999994</v>
      </c>
      <c r="I85" s="117">
        <f t="shared" si="20"/>
        <v>3188.5459999999875</v>
      </c>
      <c r="J85" s="241">
        <f t="shared" si="21"/>
        <v>104.16091669812263</v>
      </c>
      <c r="K85" s="119">
        <f>-517.198</f>
        <v>-517.19799999999998</v>
      </c>
      <c r="L85" s="119">
        <v>2497</v>
      </c>
      <c r="M85" s="117">
        <f t="shared" si="22"/>
        <v>3014.1979999999999</v>
      </c>
      <c r="N85" s="121">
        <f t="shared" si="23"/>
        <v>-482.79382364200944</v>
      </c>
      <c r="O85" s="127">
        <f t="shared" si="24"/>
        <v>2.883734156020227</v>
      </c>
    </row>
    <row r="86" spans="1:15" ht="21" thickBot="1">
      <c r="A86" s="123" t="s">
        <v>165</v>
      </c>
      <c r="B86" s="232" t="s">
        <v>166</v>
      </c>
      <c r="C86" s="227">
        <f>28611.775</f>
        <v>28611.775000000001</v>
      </c>
      <c r="D86" s="227">
        <v>29464.9</v>
      </c>
      <c r="E86" s="228">
        <f t="shared" si="18"/>
        <v>853.125</v>
      </c>
      <c r="F86" s="121">
        <f t="shared" si="19"/>
        <v>102.98172692886058</v>
      </c>
      <c r="G86" s="242">
        <v>23952.183000000001</v>
      </c>
      <c r="H86" s="242">
        <v>24804.5</v>
      </c>
      <c r="I86" s="234">
        <f t="shared" si="20"/>
        <v>852.3169999999991</v>
      </c>
      <c r="J86" s="128">
        <f t="shared" si="21"/>
        <v>103.5584105214961</v>
      </c>
      <c r="K86" s="233">
        <f>246.043</f>
        <v>246.04300000000001</v>
      </c>
      <c r="L86" s="233">
        <v>207.2</v>
      </c>
      <c r="M86" s="195">
        <f t="shared" si="22"/>
        <v>-38.843000000000018</v>
      </c>
      <c r="N86" s="121">
        <f t="shared" si="23"/>
        <v>84.212922131497336</v>
      </c>
      <c r="O86" s="199">
        <f t="shared" si="24"/>
        <v>0.70320958156993574</v>
      </c>
    </row>
    <row r="87" spans="1:15" s="205" customFormat="1" ht="21" thickBot="1">
      <c r="A87" s="289" t="s">
        <v>212</v>
      </c>
      <c r="B87" s="290"/>
      <c r="C87" s="230">
        <f>SUM(C70:C86)</f>
        <v>942567.522</v>
      </c>
      <c r="D87" s="230">
        <f>SUM(D70:D86)</f>
        <v>965862.00400000007</v>
      </c>
      <c r="E87" s="230">
        <f>D87-C87</f>
        <v>23294.482000000076</v>
      </c>
      <c r="F87" s="230">
        <f>D87/C87*100</f>
        <v>102.47138602341957</v>
      </c>
      <c r="G87" s="230">
        <f>SUM(G70:G86)</f>
        <v>810740.09699999995</v>
      </c>
      <c r="H87" s="230">
        <f>SUM(H70:H86)</f>
        <v>837741.93499999994</v>
      </c>
      <c r="I87" s="230">
        <f>H87-G87</f>
        <v>27001.837999999989</v>
      </c>
      <c r="J87" s="235">
        <f>H87/G87*100</f>
        <v>103.33051715339052</v>
      </c>
      <c r="K87" s="230">
        <f>SUM(K70:K86)</f>
        <v>-6434.4640000000009</v>
      </c>
      <c r="L87" s="230">
        <f>SUM(L70:L86)</f>
        <v>-20093.235999999994</v>
      </c>
      <c r="M87" s="201">
        <f>L87-K87</f>
        <v>-13658.771999999994</v>
      </c>
      <c r="N87" s="202">
        <f>L87/K87*100</f>
        <v>312.27521049150312</v>
      </c>
      <c r="O87" s="222">
        <f t="shared" si="24"/>
        <v>-2.080342317720989</v>
      </c>
    </row>
    <row r="88" spans="1:15" s="205" customFormat="1" ht="32.25" customHeight="1" thickBot="1">
      <c r="A88" s="289" t="s">
        <v>168</v>
      </c>
      <c r="B88" s="290"/>
      <c r="C88" s="236">
        <f>C87+C69</f>
        <v>2105320.071</v>
      </c>
      <c r="D88" s="236">
        <f>D87+D69</f>
        <v>2264516.7290000003</v>
      </c>
      <c r="E88" s="201">
        <f t="shared" si="18"/>
        <v>159196.65800000029</v>
      </c>
      <c r="F88" s="201">
        <f t="shared" si="19"/>
        <v>107.56163683578926</v>
      </c>
      <c r="G88" s="236">
        <f>G87+G69</f>
        <v>1822077.034</v>
      </c>
      <c r="H88" s="236">
        <f>H87+H69</f>
        <v>1934766.5090000001</v>
      </c>
      <c r="I88" s="201">
        <f t="shared" si="20"/>
        <v>112689.47500000009</v>
      </c>
      <c r="J88" s="231">
        <f t="shared" si="21"/>
        <v>106.18467127883244</v>
      </c>
      <c r="K88" s="236">
        <f>K87+K69</f>
        <v>-175145.73199999996</v>
      </c>
      <c r="L88" s="236">
        <f>L87+L69</f>
        <v>-44917.801999999996</v>
      </c>
      <c r="M88" s="201">
        <f t="shared" si="22"/>
        <v>130227.92999999996</v>
      </c>
      <c r="N88" s="202">
        <f t="shared" si="23"/>
        <v>25.645958646597229</v>
      </c>
      <c r="O88" s="204">
        <f t="shared" si="24"/>
        <v>-1.9835491354411623</v>
      </c>
    </row>
    <row r="92" spans="1:15" s="175" customFormat="1" ht="51" customHeight="1">
      <c r="A92" s="237"/>
      <c r="B92" s="287" t="s">
        <v>213</v>
      </c>
      <c r="C92" s="287"/>
      <c r="D92" s="287"/>
      <c r="E92" s="287"/>
      <c r="F92" s="253"/>
      <c r="G92" s="288" t="s">
        <v>218</v>
      </c>
      <c r="H92" s="288"/>
      <c r="I92" s="237"/>
      <c r="J92" s="237"/>
      <c r="K92" s="237"/>
      <c r="L92" s="237"/>
      <c r="M92" s="237"/>
      <c r="N92" s="237"/>
      <c r="O92" s="237"/>
    </row>
    <row r="109" spans="2:2">
      <c r="B109" s="238" t="s">
        <v>219</v>
      </c>
    </row>
  </sheetData>
  <mergeCells count="18">
    <mergeCell ref="A2:N2"/>
    <mergeCell ref="A3:N3"/>
    <mergeCell ref="A5:A6"/>
    <mergeCell ref="B5:B6"/>
    <mergeCell ref="C5:F5"/>
    <mergeCell ref="G5:J5"/>
    <mergeCell ref="K5:N5"/>
    <mergeCell ref="B92:E92"/>
    <mergeCell ref="G92:H92"/>
    <mergeCell ref="A69:B69"/>
    <mergeCell ref="A87:B87"/>
    <mergeCell ref="O5:O6"/>
    <mergeCell ref="A10:B10"/>
    <mergeCell ref="A27:B27"/>
    <mergeCell ref="A88:B88"/>
    <mergeCell ref="A33:B33"/>
    <mergeCell ref="A39:B39"/>
    <mergeCell ref="A68:B68"/>
  </mergeCells>
  <pageMargins left="0.70866141732283472" right="0.31496062992125984" top="1.1417322834645669" bottom="0.15748031496062992" header="0.31496062992125984" footer="0.31496062992125984"/>
  <pageSetup paperSize="9" scale="48" fitToHeight="0" orientation="landscape" horizontalDpi="180" verticalDpi="180" r:id="rId1"/>
  <rowBreaks count="2" manualBreakCount="2">
    <brk id="39" max="14" man="1"/>
    <brk id="74" max="1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tab scurt (2)</vt:lpstr>
      <vt:lpstr>Лист1</vt:lpstr>
      <vt:lpstr>tab scurt</vt:lpstr>
      <vt:lpstr>Лист3</vt:lpstr>
      <vt:lpstr>'tab scurt'!Область_печати</vt:lpstr>
      <vt:lpstr>'tab scurt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2019-07-18T11:08:14Z</dcterms:modified>
</cp:coreProperties>
</file>