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1"/>
  </bookViews>
  <sheets>
    <sheet name="2017" sheetId="1" r:id="rId1"/>
    <sheet name="2018" sheetId="2" r:id="rId2"/>
  </sheets>
  <definedNames>
    <definedName name="_xlnm._FilterDatabase" localSheetId="1" hidden="1">'2018'!$A$7:$X$141</definedName>
    <definedName name="_xlnm.Print_Area" localSheetId="0">'2017'!$A$1:$P$121</definedName>
    <definedName name="_xlnm.Print_Area" localSheetId="1">'2018'!$A$1:$X$141</definedName>
    <definedName name="_xlnm.Print_Titles" localSheetId="0">'2017'!$7:$8</definedName>
    <definedName name="_xlnm.Print_Titles" localSheetId="1">'2018'!$7:$8</definedName>
  </definedNames>
  <calcPr fullCalcOnLoad="1"/>
</workbook>
</file>

<file path=xl/sharedStrings.xml><?xml version="1.0" encoding="utf-8"?>
<sst xmlns="http://schemas.openxmlformats.org/spreadsheetml/2006/main" count="1000" uniqueCount="450">
  <si>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</si>
  <si>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</si>
  <si>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</si>
  <si>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</si>
  <si>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</si>
  <si>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</si>
  <si>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(semnătură)</t>
  </si>
  <si>
    <t xml:space="preserve">Conducătorul entității            _________________ </t>
  </si>
  <si>
    <t>cheltuieli salariale</t>
  </si>
  <si>
    <t>inclusiv</t>
  </si>
  <si>
    <t>1.1</t>
  </si>
  <si>
    <t>1.2</t>
  </si>
  <si>
    <t>Fondul social 23%</t>
  </si>
  <si>
    <t>1.3</t>
  </si>
  <si>
    <t>Fondul social 6%</t>
  </si>
  <si>
    <t>1.4</t>
  </si>
  <si>
    <t>asigurarile medicale 9 %</t>
  </si>
  <si>
    <t>impozite  și taxe</t>
  </si>
  <si>
    <t>impozit pe venit din salariu</t>
  </si>
  <si>
    <t>impozi pe venit reţinut la sursa de plată</t>
  </si>
  <si>
    <t>TVA</t>
  </si>
  <si>
    <t>taxa pentru apă</t>
  </si>
  <si>
    <t>taxa pentru amenajarea teritoriului</t>
  </si>
  <si>
    <t>taxa pentru bunurile imobiliare</t>
  </si>
  <si>
    <t>impozit funciar</t>
  </si>
  <si>
    <t>taxa pentru drumuri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</si>
  <si>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</si>
  <si>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</si>
  <si>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</si>
  <si>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</si>
  <si>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</si>
  <si>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</si>
  <si>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</si>
  <si>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</si>
  <si>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</si>
  <si>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</si>
  <si>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datorii bancare</t>
  </si>
  <si>
    <t xml:space="preserve">BC Moldindconbank SA fil Invest </t>
  </si>
  <si>
    <t>BC Moldindconbank SA fil Invest  dobinda</t>
  </si>
  <si>
    <t>comisioane bancare</t>
  </si>
  <si>
    <t>BC Mobiasbank/credit</t>
  </si>
  <si>
    <t>BC Mobiasbank/dobinda</t>
  </si>
  <si>
    <t>resurse energetice</t>
  </si>
  <si>
    <t>ICS GAZ Natural Energie SRL</t>
  </si>
  <si>
    <t>Moldova Gaz SA</t>
  </si>
  <si>
    <t>Termoelectrica SA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</si>
  <si>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</si>
  <si>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</si>
  <si>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</si>
  <si>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</si>
  <si>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</si>
  <si>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</si>
  <si>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</si>
  <si>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</si>
  <si>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</si>
  <si>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</si>
  <si>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materiale</t>
  </si>
  <si>
    <t>B.C. ''BANCA SOCIALÃ'  S.A.</t>
  </si>
  <si>
    <t>I.M. ''TIREX PETROL''  SA</t>
  </si>
  <si>
    <t>I.C.S. ''BEMOL RETAIL'' S.R.L.</t>
  </si>
  <si>
    <t>Agropiese TGR Grup SRL</t>
  </si>
  <si>
    <t>S.A. ''EXIMOTOR''</t>
  </si>
  <si>
    <t>Jardan Comert SRL</t>
  </si>
  <si>
    <t>S.R.L. ''ADEN-TRANSEXIM''</t>
  </si>
  <si>
    <t>Oltchim</t>
  </si>
  <si>
    <t>S.R.L. ''COLOANA MECANIZATÃ DE CONSTRUCțII''</t>
  </si>
  <si>
    <t>Regia ExDrupo</t>
  </si>
  <si>
    <t>Pietriș SA</t>
  </si>
  <si>
    <t>Techno Test SRL</t>
  </si>
  <si>
    <t>Transenergoproiect SA (aplicate la reagenti)</t>
  </si>
  <si>
    <t>Ecochimie SA</t>
  </si>
  <si>
    <t>Plasma Tec Plus SRL</t>
  </si>
  <si>
    <t>Transenergogrup SRL</t>
  </si>
  <si>
    <t>sisteme informationale</t>
  </si>
  <si>
    <t>altele</t>
  </si>
  <si>
    <t>lucrări și servicii</t>
  </si>
  <si>
    <t>Naiman - Com SRL</t>
  </si>
  <si>
    <t>Intergazco SRL</t>
  </si>
  <si>
    <t>Servicomaş SA</t>
  </si>
  <si>
    <t>Aspromcon SRL</t>
  </si>
  <si>
    <t>Eligibil Con SRL</t>
  </si>
  <si>
    <t>Activrut SRL</t>
  </si>
  <si>
    <t>Direcţia generală transport public şi căi de comunicaţii</t>
  </si>
  <si>
    <t>Tehlab Service SRL</t>
  </si>
  <si>
    <t>Servicii pază al MAI</t>
  </si>
  <si>
    <t>ICS RED Union Fenosa SA</t>
  </si>
  <si>
    <t>Orange Moldova SA</t>
  </si>
  <si>
    <t>Comitetul sindical</t>
  </si>
  <si>
    <t>Freesia SRL</t>
  </si>
  <si>
    <t>Di and trade engineering SRL</t>
  </si>
  <si>
    <t>''Avi Clima'' SRL</t>
  </si>
  <si>
    <t>Chișinău Gaz SRL</t>
  </si>
  <si>
    <t>Moldtelecom SA</t>
  </si>
  <si>
    <t>Valsar</t>
  </si>
  <si>
    <t>Salve SRL</t>
  </si>
  <si>
    <t>Artmobila SRL</t>
  </si>
  <si>
    <t>alte lucrări și servicii</t>
  </si>
  <si>
    <t>INVESTIȚII</t>
  </si>
  <si>
    <t>UAB HIDORA</t>
  </si>
  <si>
    <t>BERD</t>
  </si>
  <si>
    <t>BEI</t>
  </si>
  <si>
    <t>5</t>
  </si>
  <si>
    <t>5.1</t>
  </si>
  <si>
    <t>5.2</t>
  </si>
  <si>
    <t>5.3</t>
  </si>
  <si>
    <t>5.4</t>
  </si>
  <si>
    <t>5.5</t>
  </si>
  <si>
    <t>5.6</t>
  </si>
  <si>
    <t>5.7</t>
  </si>
  <si>
    <t>5.7.1</t>
  </si>
  <si>
    <t>5.8</t>
  </si>
  <si>
    <t>5.9</t>
  </si>
  <si>
    <t>5.10</t>
  </si>
  <si>
    <t>5.12</t>
  </si>
  <si>
    <t>5.13</t>
  </si>
  <si>
    <t>5.14</t>
  </si>
  <si>
    <t>5.15</t>
  </si>
  <si>
    <t>5.16</t>
  </si>
  <si>
    <t>5.17</t>
  </si>
  <si>
    <t>5.20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</si>
  <si>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</si>
  <si>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</si>
  <si>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</si>
  <si>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</si>
  <si>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</si>
  <si>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</si>
  <si>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</si>
  <si>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</si>
  <si>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</si>
  <si>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</si>
  <si>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</si>
  <si>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</si>
  <si>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</si>
  <si>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</si>
  <si>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</si>
  <si>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</si>
  <si>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</si>
  <si>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</si>
  <si>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</si>
  <si>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</si>
  <si>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6.23</t>
  </si>
  <si>
    <t>6.24</t>
  </si>
  <si>
    <t>6.26</t>
  </si>
  <si>
    <t>6.27</t>
  </si>
  <si>
    <t>7</t>
  </si>
  <si>
    <t>7.1</t>
  </si>
  <si>
    <t>7.2</t>
  </si>
  <si>
    <t>7.3</t>
  </si>
  <si>
    <t>7.4</t>
  </si>
  <si>
    <t>amenzi si majorari de intirziere</t>
  </si>
  <si>
    <t>2.10</t>
  </si>
  <si>
    <t>alte taxe si impozite</t>
  </si>
  <si>
    <t>Policontract S.R.L. (geotube)</t>
  </si>
  <si>
    <t>Ten Cate Geosynthetocs ( geotube)</t>
  </si>
  <si>
    <t>TVA, proceduri vamale</t>
  </si>
  <si>
    <t>Grant Thornton Audit SRL</t>
  </si>
  <si>
    <t xml:space="preserve">Lusmecon </t>
  </si>
  <si>
    <t>rambursarea creditului</t>
  </si>
  <si>
    <t>dobinda</t>
  </si>
  <si>
    <t>comision pentru nedebursare</t>
  </si>
  <si>
    <t>penalitate</t>
  </si>
  <si>
    <t>servicii juridice</t>
  </si>
  <si>
    <t>virarea salariului pe carduri</t>
  </si>
  <si>
    <t>diferente de curs</t>
  </si>
  <si>
    <t>3.6</t>
  </si>
  <si>
    <t>Salariati</t>
  </si>
  <si>
    <t>bugetul public national</t>
  </si>
  <si>
    <t>Acord aditional 3/655 la contr.54 din 01.04.2015</t>
  </si>
  <si>
    <t>acord nr.1/501 la nr.125 din 01.04.2015</t>
  </si>
  <si>
    <t>locaţiunea canalelor vizitabile</t>
  </si>
  <si>
    <t>nr.contractului</t>
  </si>
  <si>
    <t>data inregistrarii</t>
  </si>
  <si>
    <t>termenul contractului/scadenţa</t>
  </si>
  <si>
    <t>04.10.2017 + acord nr.1/409</t>
  </si>
  <si>
    <t>05.10.2017 + acord nr. 1</t>
  </si>
  <si>
    <t>Acord aditional nr.3/652 la contr.249 din 16.08.2013</t>
  </si>
  <si>
    <t>12 luni/07.07.2017</t>
  </si>
  <si>
    <t>12  luni/ 01.08.2017</t>
  </si>
  <si>
    <t>procurarea materiele din oţel laminat şi metale neferoase în asortiment</t>
  </si>
  <si>
    <t>procurarea 'evi din o'el ]n asortiment</t>
  </si>
  <si>
    <t>procurarea Materiale din otel laminat</t>
  </si>
  <si>
    <t>ţevi din oţel în asortiment</t>
  </si>
  <si>
    <t>27/06-16/320</t>
  </si>
  <si>
    <t>12 luni/27.06.2017</t>
  </si>
  <si>
    <t>procurarea Soluţiei de hipoclorit de sodiu</t>
  </si>
  <si>
    <t>procurarea  Clorului lichid</t>
  </si>
  <si>
    <t>198 euro/t</t>
  </si>
  <si>
    <t>27 lei/kg</t>
  </si>
  <si>
    <t>HIPOCLORID DE SODIU SOLUTIE</t>
  </si>
  <si>
    <t>69375 euro</t>
  </si>
  <si>
    <t>tuburi geotextile</t>
  </si>
  <si>
    <t xml:space="preserve">procurarea Geotube GT500D, </t>
  </si>
  <si>
    <t>168,5 euro</t>
  </si>
  <si>
    <t>Suma contractului, mii lei/euro</t>
  </si>
  <si>
    <t>lucrări de construcţie-montaj, reabilitarea suprafetelor asfaltice</t>
  </si>
  <si>
    <t>228 lei/tona</t>
  </si>
  <si>
    <t>pietriş pentru lucrări de constr</t>
  </si>
  <si>
    <t>procurarea  Contoarelor de apa rece</t>
  </si>
  <si>
    <t>servicii de transportare</t>
  </si>
  <si>
    <t>1280 euro/per ruta</t>
  </si>
  <si>
    <t>procurarea Medii nutritive si materiale pentru microbiologie</t>
  </si>
  <si>
    <t>12 luni/24.06.2017+ acord</t>
  </si>
  <si>
    <t>electrozi şi sîrme pentru sudarea metalelor</t>
  </si>
  <si>
    <t>pînă la executarea obligaţiunilor contractuale</t>
  </si>
  <si>
    <t>halate negru/albastre bumbac, Cizmelor de piele</t>
  </si>
  <si>
    <t>fara contract</t>
  </si>
  <si>
    <t>lucrări de construcţii, reabilitări, reparaţii</t>
  </si>
  <si>
    <t>servicii de transport si mecanisme</t>
  </si>
  <si>
    <t>pînă la îndeplinirea obligaţiunilor contractuale</t>
  </si>
  <si>
    <t>lucrări de izolare a reţelelor termice prin turnarea spumei poliuritanice rigide</t>
  </si>
  <si>
    <t>pînă la îndeplinirea condiţiilor contractuale</t>
  </si>
  <si>
    <t>lucrări de spălare a 156 de saci</t>
  </si>
  <si>
    <t>servicii de transport şi mecanisme</t>
  </si>
  <si>
    <t>157 / 659</t>
  </si>
  <si>
    <t>acord aditional nr.1 /571 la contr.157/659 din 10.10.2014</t>
  </si>
  <si>
    <t>procurarea betonului marfar</t>
  </si>
  <si>
    <t>procurarea betonului armat</t>
  </si>
  <si>
    <t>12/02/2013/49</t>
  </si>
  <si>
    <t>servicii de verificare metrologică</t>
  </si>
  <si>
    <t>perioada nedeterminata</t>
  </si>
  <si>
    <t>1609/58 din 22.09.2016/623 , Anexa nr.1 la contr.623 din 14.11.2016</t>
  </si>
  <si>
    <t>servicii de audit, consultanta</t>
  </si>
  <si>
    <t>Acord aditional 253 la contr.0048/2/6 din 13.01.2017</t>
  </si>
  <si>
    <t>939,7 lunar</t>
  </si>
  <si>
    <t>servicii paza</t>
  </si>
  <si>
    <t>32/423</t>
  </si>
  <si>
    <t>admiterea la executarea lucrărilor în zonele de protecţie a reţelelor electr</t>
  </si>
  <si>
    <t>servicii de telefonie mobilă, fixa, internet</t>
  </si>
  <si>
    <t>nr.LOO1012/4,nr.TF0090/5,nr.CN3965/OMD/6</t>
  </si>
  <si>
    <t>cotezatii si defalcari</t>
  </si>
  <si>
    <t>153CW/403</t>
  </si>
  <si>
    <t xml:space="preserve">procurarea conductelor de aeraj pentru sistemele de ventilare în încăperile staţiilor de canalizare </t>
  </si>
  <si>
    <t>Acord aditional nr.1/294  la  contr235/29-SIST  din10.06.2016</t>
  </si>
  <si>
    <t>montarea sistemului de ventilare in oficii aflate in subsolul bl.admin.</t>
  </si>
  <si>
    <t xml:space="preserve">lucrări de deservire şi reparaţie echipamente de răcire şi ventilare </t>
  </si>
  <si>
    <t>lucrari de montare, pornire-reglare a sist. De conditionare</t>
  </si>
  <si>
    <t>24/77</t>
  </si>
  <si>
    <t xml:space="preserve">servicii de deservire a locurilor de săpături </t>
  </si>
  <si>
    <t>lucrări de supraveghere şi coordonare</t>
  </si>
  <si>
    <t>8085288/400</t>
  </si>
  <si>
    <t xml:space="preserve">valabil pe perioada nedeterminata </t>
  </si>
  <si>
    <t>utilizarea serviciilor publice de telecomunicatii</t>
  </si>
  <si>
    <t>Acord aditional nr.36 la contr.106 din 18.04.2008</t>
  </si>
  <si>
    <t>servicii de cleaning</t>
  </si>
  <si>
    <t>acord de prolongare</t>
  </si>
  <si>
    <t>24 luni/17.05.2018</t>
  </si>
  <si>
    <t>lucrări de reparaţie a echipamentului</t>
  </si>
  <si>
    <t xml:space="preserve"> Acord aditional nr.2/233 la contractul nr.7907-R1-IFT-44027/527 din 27.11.2015</t>
  </si>
  <si>
    <t>849,7 euro</t>
  </si>
  <si>
    <t>12/593</t>
  </si>
  <si>
    <t>servicii de desrvire şi reparaţie a automobilelor</t>
  </si>
  <si>
    <t>Salonix The SRL</t>
  </si>
  <si>
    <t>Furnizarea si instalarea unui sistem de monitorizare, control si achizitii de date SCADA</t>
  </si>
  <si>
    <t>8105-IFT-44027/233</t>
  </si>
  <si>
    <t>691,4 euro</t>
  </si>
  <si>
    <t>Polimer Gaz Conducte SRL</t>
  </si>
  <si>
    <t>Furnizarea si instalarea echipamentelor de pompare si electrice pentru statiile de pompare din Chisinau</t>
  </si>
  <si>
    <t>7913-IFT-44027/507</t>
  </si>
  <si>
    <t>Leader Eco SRL</t>
  </si>
  <si>
    <t>1283,9 euro</t>
  </si>
  <si>
    <t>autovehicol specializat</t>
  </si>
  <si>
    <t>7907-R1-IFT-4027/511</t>
  </si>
  <si>
    <t>7.5</t>
  </si>
  <si>
    <t>7.6</t>
  </si>
  <si>
    <t>7.7</t>
  </si>
  <si>
    <t>Serapis N 2011 0235/FI N 81436</t>
  </si>
  <si>
    <t>139975</t>
  </si>
  <si>
    <t>24-C</t>
  </si>
  <si>
    <t>lucrari de reabilitare a sistemului de apeduct si canalizare</t>
  </si>
  <si>
    <t>20/11-4</t>
  </si>
  <si>
    <t>conform legislatiei in vigoare</t>
  </si>
  <si>
    <t xml:space="preserve"> nr.6/2015 </t>
  </si>
  <si>
    <t>linie de credit revolving, achitarea obligatiunilor financiare BERD, BEI, energie electrica, salariu, gaze naturale</t>
  </si>
  <si>
    <t>LC/10350367100</t>
  </si>
  <si>
    <t>acord</t>
  </si>
  <si>
    <t>achitari investitionale in cadrul proiectului BERD si BEI</t>
  </si>
  <si>
    <t>40302000007/171</t>
  </si>
  <si>
    <t>nelimitat</t>
  </si>
  <si>
    <t>energie electrica</t>
  </si>
  <si>
    <t>gaze naturale</t>
  </si>
  <si>
    <t>statia electrica cu cogenerare de pe teritoriul Statiei de epurare a apelor uzate, str. Lunca Bicului 24</t>
  </si>
  <si>
    <t>marfuri petroliere</t>
  </si>
  <si>
    <t>piese de schimb si servicii</t>
  </si>
  <si>
    <t>6.28</t>
  </si>
  <si>
    <t>5.21</t>
  </si>
  <si>
    <t>5.22</t>
  </si>
  <si>
    <t>42,5 USD</t>
  </si>
  <si>
    <t>153,4 euro</t>
  </si>
  <si>
    <t>2597 euro</t>
  </si>
  <si>
    <t>S. A. "Apă - Canal Chişinău" cod fiscal 1002600015876</t>
  </si>
  <si>
    <t>Veronica Herţa</t>
  </si>
  <si>
    <t>S.R.L. ''EAST-AUTO-LADA''/Victoriabank</t>
  </si>
  <si>
    <t>5.23</t>
  </si>
  <si>
    <t>Flochem Industries</t>
  </si>
  <si>
    <t>reactivi si reagenti</t>
  </si>
  <si>
    <t>132/200</t>
  </si>
  <si>
    <t>pînă la îndeplinirea obligaţiunilor prezentului contract</t>
  </si>
  <si>
    <t>3,20 euro/kg</t>
  </si>
  <si>
    <t>conturi</t>
  </si>
  <si>
    <t>x</t>
  </si>
  <si>
    <t>total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</si>
  <si>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1946,35 </t>
    </r>
    <r>
      <rPr>
        <sz val="14"/>
        <color indexed="8"/>
        <rFont val="times new roman"/>
        <family val="1"/>
      </rPr>
      <t>, efectiv 1840 persoane</t>
    </r>
  </si>
  <si>
    <t>Consultech Industrial Supple</t>
  </si>
  <si>
    <t>centrifugi</t>
  </si>
  <si>
    <t>799 Euro</t>
  </si>
  <si>
    <t>04.10.2016
20.11.2017</t>
  </si>
  <si>
    <t>552
269 CCN/510</t>
  </si>
  <si>
    <t>1200
3 378.5</t>
  </si>
  <si>
    <t>546
511</t>
  </si>
  <si>
    <t>05.10.2016
20.11.2017</t>
  </si>
  <si>
    <t>7 047,5</t>
  </si>
  <si>
    <t>Rehabilitation of priority 60 km of Water Network</t>
  </si>
  <si>
    <t xml:space="preserve">No. p-pn 151016 a/277 </t>
  </si>
  <si>
    <t>7.8</t>
  </si>
  <si>
    <t>7.9</t>
  </si>
  <si>
    <t>7.11</t>
  </si>
  <si>
    <t>OCIDE CONSTRUCCION</t>
  </si>
  <si>
    <t>5620.3 euro</t>
  </si>
  <si>
    <t>7.12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</si>
  <si>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2017</t>
    </r>
  </si>
  <si>
    <t>08.12.2017-
14.12.2017</t>
  </si>
  <si>
    <t>2198.4</t>
  </si>
  <si>
    <t>86.4</t>
  </si>
  <si>
    <t>56.2</t>
  </si>
  <si>
    <t>În luna 
noiembrie</t>
  </si>
  <si>
    <t>274.8</t>
  </si>
  <si>
    <t>În luna curenta
decembrie</t>
  </si>
  <si>
    <t>15.12.2017-
21.12.2017</t>
  </si>
  <si>
    <t>8846.6</t>
  </si>
  <si>
    <t>326.1</t>
  </si>
  <si>
    <t>668.1</t>
  </si>
  <si>
    <t>1100.6</t>
  </si>
  <si>
    <t>7.13</t>
  </si>
  <si>
    <t>Banca de Economi SA 
in proces de lichidare</t>
  </si>
  <si>
    <t>22.12.2017-28.12.2017</t>
  </si>
  <si>
    <t>328.70</t>
  </si>
  <si>
    <t>2275.5</t>
  </si>
  <si>
    <t>91.7</t>
  </si>
  <si>
    <t>37.2</t>
  </si>
  <si>
    <t>29.12.2017</t>
  </si>
  <si>
    <t>Total de la începutul anului (ianuarie-decembrie)</t>
  </si>
  <si>
    <t>0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</si>
  <si>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2018</t>
    </r>
  </si>
  <si>
    <r>
      <t xml:space="preserve">Numărul de angajați conform statelor de personal   </t>
    </r>
    <r>
      <rPr>
        <sz val="14"/>
        <color indexed="8"/>
        <rFont val="times new roman"/>
        <family val="1"/>
      </rPr>
      <t>, efectiv 1789 persoane</t>
    </r>
  </si>
  <si>
    <t>02.01.2018-04.02.2018</t>
  </si>
  <si>
    <t>05.01.2018-11.01.2018</t>
  </si>
  <si>
    <t>12.01.2018-18.01.2018</t>
  </si>
  <si>
    <t>19.01.2018-25.01.2018</t>
  </si>
  <si>
    <t>In luna
 ianuarie</t>
  </si>
  <si>
    <t>26.01.2017
31.01.2017</t>
  </si>
  <si>
    <t>01.02.2017
02.02.2017</t>
  </si>
  <si>
    <t>05.02.2017
08.02.2017</t>
  </si>
  <si>
    <t>09.02.2017
15.02.2017</t>
  </si>
  <si>
    <t>16.02.2017
22.02.2017</t>
  </si>
  <si>
    <t>BERD dobinda</t>
  </si>
  <si>
    <t>BEI dobinda</t>
  </si>
  <si>
    <t>3.7</t>
  </si>
  <si>
    <t>3.8</t>
  </si>
  <si>
    <t>Banca Europeana pentru Dezvoltare 
si Reconstructie</t>
  </si>
  <si>
    <t>Banca Europeana de Investitii</t>
  </si>
  <si>
    <t>credit privind implementarea Programului de Dezvoltare a Sistemului de Alimentare cu Apa din mun. Chisinau</t>
  </si>
  <si>
    <t>3 378.5</t>
  </si>
  <si>
    <t xml:space="preserve">510/269CCN
</t>
  </si>
  <si>
    <t>SC "PARTENER ENERGO"</t>
  </si>
  <si>
    <t>SA "Imtehcom"</t>
  </si>
  <si>
    <t>până la îndeplinirea obligaţiilor contractuale</t>
  </si>
  <si>
    <t>Uniplast SRL</t>
  </si>
  <si>
    <t>368, 461,519</t>
  </si>
  <si>
    <t>acord 399</t>
  </si>
  <si>
    <t>Palplast SRL</t>
  </si>
  <si>
    <t>tavi din polietelen</t>
  </si>
  <si>
    <t>Habsev Grup" SRL</t>
  </si>
  <si>
    <t>29/11/556</t>
  </si>
  <si>
    <t>Mic-Tan SRL</t>
  </si>
  <si>
    <t>Elpo SRL</t>
  </si>
  <si>
    <t>Arhiconi-Grup SRL</t>
  </si>
  <si>
    <t>Nitech SRL</t>
  </si>
  <si>
    <t>DAAC System Integrator SRL</t>
  </si>
  <si>
    <t>Prosperus-Cons SRL</t>
  </si>
  <si>
    <t>"PINTA" SA</t>
  </si>
  <si>
    <t>"DICON"SRL</t>
  </si>
  <si>
    <t>"Hydrosystems ML" SRL</t>
  </si>
  <si>
    <t>Orvento-Metal SRL</t>
  </si>
  <si>
    <t>SRL "Genial-A"</t>
  </si>
  <si>
    <t>SRL "MTD"</t>
  </si>
  <si>
    <t>E10/17/441</t>
  </si>
  <si>
    <t>RCAI 2017-31-0002/115</t>
  </si>
  <si>
    <t>CA DONARIS VIENNA INSURANGE 
GROUP SA</t>
  </si>
  <si>
    <t>CA DONARIS VIENNA INSURANGE
 GROUP SA</t>
  </si>
  <si>
    <t>IMP ChisinauProiect</t>
  </si>
  <si>
    <t>1709/13/386</t>
  </si>
  <si>
    <t>34 USD</t>
  </si>
  <si>
    <t>Acord aditional 445 la contr.0048/2/6 din 13.01.2017</t>
  </si>
  <si>
    <t>Climate Service SRL</t>
  </si>
  <si>
    <t>33/460</t>
  </si>
  <si>
    <t>S.R.L. ''PIROTERM-SERVICE''</t>
  </si>
  <si>
    <t>6.10</t>
  </si>
  <si>
    <t>6.12</t>
  </si>
  <si>
    <t>6.25</t>
  </si>
  <si>
    <t>6.29</t>
  </si>
  <si>
    <t>5.11</t>
  </si>
  <si>
    <t>5.18</t>
  </si>
  <si>
    <t>5.19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</si>
  <si>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</si>
  <si>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</si>
  <si>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</si>
  <si>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</si>
  <si>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</si>
  <si>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</si>
  <si>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</si>
  <si>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</si>
  <si>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</si>
  <si>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</si>
  <si>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</si>
  <si>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</si>
  <si>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asigurari; Cartea verde</t>
  </si>
  <si>
    <t>Miscarea Româna pentru Calitate</t>
  </si>
  <si>
    <t>50 zile</t>
  </si>
  <si>
    <t>servicii de instruire</t>
  </si>
  <si>
    <t>vane din fonta ductila</t>
  </si>
  <si>
    <t>contoare</t>
  </si>
  <si>
    <t xml:space="preserve">loghere </t>
  </si>
  <si>
    <t>548 si altele</t>
  </si>
  <si>
    <t>diluant, utilaj pt laborator</t>
  </si>
  <si>
    <t xml:space="preserve">mobilier </t>
  </si>
  <si>
    <t>utilaj pentru laborator</t>
  </si>
  <si>
    <t>printer multifunctional</t>
  </si>
  <si>
    <t>pompa</t>
  </si>
  <si>
    <t>compresor de aer (suflanta)</t>
  </si>
  <si>
    <t>sitinguri</t>
  </si>
  <si>
    <t>otel laminat</t>
  </si>
  <si>
    <t>servicii de evaluarea bunurilor corporale si necorporale</t>
  </si>
  <si>
    <t>servicii de proiectari</t>
  </si>
  <si>
    <t>deservire sistemelor de climatizare si ventilare</t>
  </si>
  <si>
    <t>deservire centrale termice</t>
  </si>
  <si>
    <t>clapete</t>
  </si>
  <si>
    <t>hidranti</t>
  </si>
  <si>
    <t>23.02.2017
28.02.2017</t>
  </si>
  <si>
    <t>In luna 
 februarie</t>
  </si>
  <si>
    <t>In luna 
 martie</t>
  </si>
  <si>
    <t>In luna 
 aprilie</t>
  </si>
  <si>
    <t>Reabilitarea Statiei de Epurare a Apelor Uzate si linia noua de tratare a namolului</t>
  </si>
  <si>
    <t>8282-IFT-44027/272</t>
  </si>
  <si>
    <t>13243.5 euro</t>
  </si>
  <si>
    <t>8436-IFT-44027/27</t>
  </si>
  <si>
    <t>6049.2 euro</t>
  </si>
  <si>
    <t>Reabilitarea retelelor de apa de prioritate secundara</t>
  </si>
  <si>
    <t>Sade Compagnie General</t>
  </si>
  <si>
    <t>Passavant Energy</t>
  </si>
  <si>
    <t>Total 2018 (ianuarie-aprilie)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</si>
</sst>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0.0"/>
    <numFmt numFmtId="178" formatCode="[$-418]d\ mmmm\ yyyy"/>
    <numFmt numFmtId="179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Border="1" applyAlignment="1">
      <alignment horizontal="center" wrapText="1"/>
    </xf>
    <xf numFmtId="0" fontId="63" fillId="0" borderId="0" xfId="0" applyFont="1" applyAlignment="1">
      <alignment vertical="center"/>
    </xf>
    <xf numFmtId="0" fontId="6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64" fillId="0" borderId="11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5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59" fillId="35" borderId="11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9" fillId="36" borderId="10" xfId="0" applyFont="1" applyFill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62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9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33" borderId="19" xfId="0" applyNumberFormat="1" applyFont="1" applyFill="1" applyBorder="1" applyAlignment="1">
      <alignment horizontal="right" vertical="center" wrapText="1"/>
    </xf>
    <xf numFmtId="2" fontId="3" fillId="33" borderId="19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49" fontId="59" fillId="2" borderId="11" xfId="0" applyNumberFormat="1" applyFont="1" applyFill="1" applyBorder="1" applyAlignment="1">
      <alignment horizontal="center" vertical="center"/>
    </xf>
    <xf numFmtId="0" fontId="68" fillId="2" borderId="1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4" fontId="64" fillId="0" borderId="10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vertical="center" wrapText="1"/>
    </xf>
    <xf numFmtId="49" fontId="59" fillId="0" borderId="20" xfId="0" applyNumberFormat="1" applyFont="1" applyBorder="1" applyAlignment="1">
      <alignment horizontal="center" vertical="center"/>
    </xf>
    <xf numFmtId="0" fontId="64" fillId="0" borderId="24" xfId="0" applyFont="1" applyFill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49" fontId="59" fillId="0" borderId="26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59" fillId="36" borderId="27" xfId="0" applyFont="1" applyFill="1" applyBorder="1" applyAlignment="1">
      <alignment vertical="center"/>
    </xf>
    <xf numFmtId="49" fontId="59" fillId="36" borderId="28" xfId="0" applyNumberFormat="1" applyFont="1" applyFill="1" applyBorder="1" applyAlignment="1">
      <alignment horizontal="center" vertical="center"/>
    </xf>
    <xf numFmtId="0" fontId="68" fillId="36" borderId="27" xfId="0" applyFont="1" applyFill="1" applyBorder="1" applyAlignment="1">
      <alignment horizontal="center" vertical="center"/>
    </xf>
    <xf numFmtId="0" fontId="73" fillId="36" borderId="27" xfId="0" applyFont="1" applyFill="1" applyBorder="1" applyAlignment="1">
      <alignment vertical="center" wrapText="1"/>
    </xf>
    <xf numFmtId="0" fontId="59" fillId="36" borderId="27" xfId="0" applyFont="1" applyFill="1" applyBorder="1" applyAlignment="1">
      <alignment vertical="center" wrapText="1"/>
    </xf>
    <xf numFmtId="0" fontId="59" fillId="36" borderId="29" xfId="0" applyFont="1" applyFill="1" applyBorder="1" applyAlignment="1">
      <alignment horizontal="right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9" fillId="36" borderId="10" xfId="0" applyNumberFormat="1" applyFont="1" applyFill="1" applyBorder="1" applyAlignment="1">
      <alignment vertical="center"/>
    </xf>
    <xf numFmtId="4" fontId="59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49" fontId="65" fillId="0" borderId="12" xfId="0" applyNumberFormat="1" applyFont="1" applyBorder="1" applyAlignment="1">
      <alignment horizontal="center" vertical="center" wrapText="1"/>
    </xf>
    <xf numFmtId="0" fontId="70" fillId="0" borderId="22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70" fillId="0" borderId="30" xfId="0" applyFont="1" applyFill="1" applyBorder="1" applyAlignment="1">
      <alignment vertical="center" wrapText="1"/>
    </xf>
    <xf numFmtId="2" fontId="59" fillId="0" borderId="2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9" fillId="36" borderId="10" xfId="0" applyFont="1" applyFill="1" applyBorder="1" applyAlignment="1">
      <alignment horizontal="center" vertical="center"/>
    </xf>
    <xf numFmtId="4" fontId="59" fillId="36" borderId="10" xfId="0" applyNumberFormat="1" applyFont="1" applyFill="1" applyBorder="1" applyAlignment="1">
      <alignment horizontal="center" vertical="center"/>
    </xf>
    <xf numFmtId="0" fontId="59" fillId="36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79" fontId="64" fillId="0" borderId="10" xfId="0" applyNumberFormat="1" applyFont="1" applyBorder="1" applyAlignment="1">
      <alignment horizontal="center" vertical="center"/>
    </xf>
    <xf numFmtId="179" fontId="59" fillId="36" borderId="10" xfId="0" applyNumberFormat="1" applyFont="1" applyFill="1" applyBorder="1" applyAlignment="1">
      <alignment horizontal="center" vertical="center"/>
    </xf>
    <xf numFmtId="179" fontId="59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 wrapText="1"/>
    </xf>
    <xf numFmtId="179" fontId="6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0" fillId="33" borderId="22" xfId="0" applyFill="1" applyBorder="1" applyAlignment="1">
      <alignment horizontal="center" vertical="center"/>
    </xf>
    <xf numFmtId="49" fontId="65" fillId="0" borderId="31" xfId="0" applyNumberFormat="1" applyFont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31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3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64" fillId="0" borderId="1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4" fillId="0" borderId="11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0" fontId="64" fillId="0" borderId="32" xfId="0" applyFont="1" applyFill="1" applyBorder="1" applyAlignment="1">
      <alignment vertical="center"/>
    </xf>
    <xf numFmtId="0" fontId="64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59" fillId="36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9" fontId="64" fillId="0" borderId="26" xfId="0" applyNumberFormat="1" applyFont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7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9" xfId="0" applyFill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59" fillId="36" borderId="27" xfId="0" applyNumberFormat="1" applyFont="1" applyFill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59" fillId="2" borderId="10" xfId="0" applyNumberFormat="1" applyFont="1" applyFill="1" applyBorder="1" applyAlignment="1">
      <alignment horizontal="center" vertical="center"/>
    </xf>
    <xf numFmtId="179" fontId="0" fillId="0" borderId="34" xfId="0" applyNumberFormat="1" applyBorder="1" applyAlignment="1">
      <alignment vertical="center"/>
    </xf>
    <xf numFmtId="179" fontId="0" fillId="0" borderId="0" xfId="0" applyNumberFormat="1" applyAlignment="1">
      <alignment/>
    </xf>
    <xf numFmtId="179" fontId="74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33" borderId="10" xfId="0" applyFont="1" applyFill="1" applyBorder="1" applyAlignment="1">
      <alignment vertical="center" wrapText="1"/>
    </xf>
    <xf numFmtId="49" fontId="65" fillId="0" borderId="18" xfId="0" applyNumberFormat="1" applyFont="1" applyFill="1" applyBorder="1" applyAlignment="1">
      <alignment horizontal="right" vertical="center" wrapText="1"/>
    </xf>
    <xf numFmtId="49" fontId="65" fillId="0" borderId="21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2" fillId="0" borderId="0" xfId="0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67" fillId="0" borderId="12" xfId="0" applyFont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9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49" fontId="64" fillId="33" borderId="20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right" vertical="center" wrapText="1"/>
    </xf>
    <xf numFmtId="177" fontId="3" fillId="0" borderId="25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22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right" vertical="center" wrapText="1"/>
    </xf>
    <xf numFmtId="2" fontId="3" fillId="33" borderId="23" xfId="0" applyNumberFormat="1" applyFont="1" applyFill="1" applyBorder="1" applyAlignment="1">
      <alignment horizontal="right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14" fontId="3" fillId="0" borderId="22" xfId="0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left" vertical="center" wrapText="1"/>
    </xf>
    <xf numFmtId="14" fontId="9" fillId="0" borderId="22" xfId="0" applyNumberFormat="1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49" fontId="64" fillId="0" borderId="2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4" fillId="33" borderId="22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4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179" fontId="0" fillId="33" borderId="12" xfId="0" applyNumberFormat="1" applyFill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12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49" fontId="64" fillId="0" borderId="33" xfId="0" applyNumberFormat="1" applyFont="1" applyBorder="1" applyAlignment="1">
      <alignment horizontal="center" vertical="center"/>
    </xf>
    <xf numFmtId="0" fontId="64" fillId="0" borderId="24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49" fontId="65" fillId="0" borderId="34" xfId="0" applyNumberFormat="1" applyFont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49" fontId="65" fillId="0" borderId="34" xfId="0" applyNumberFormat="1" applyFont="1" applyFill="1" applyBorder="1" applyAlignment="1">
      <alignment horizontal="center" vertical="center" wrapText="1"/>
    </xf>
    <xf numFmtId="49" fontId="66" fillId="0" borderId="31" xfId="0" applyNumberFormat="1" applyFont="1" applyBorder="1" applyAlignment="1">
      <alignment horizontal="center" vertical="center" wrapText="1"/>
    </xf>
    <xf numFmtId="49" fontId="66" fillId="0" borderId="34" xfId="0" applyNumberFormat="1" applyFont="1" applyBorder="1" applyAlignment="1">
      <alignment horizontal="center" vertical="center" wrapText="1"/>
    </xf>
    <xf numFmtId="49" fontId="65" fillId="0" borderId="50" xfId="0" applyNumberFormat="1" applyFont="1" applyFill="1" applyBorder="1" applyAlignment="1">
      <alignment horizontal="right" vertical="center" wrapText="1"/>
    </xf>
    <xf numFmtId="49" fontId="65" fillId="0" borderId="51" xfId="0" applyNumberFormat="1" applyFont="1" applyFill="1" applyBorder="1" applyAlignment="1">
      <alignment horizontal="right" vertical="center" wrapText="1"/>
    </xf>
    <xf numFmtId="0" fontId="67" fillId="0" borderId="22" xfId="0" applyFon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zoomScalePageLayoutView="0" workbookViewId="0" topLeftCell="A1">
      <pane xSplit="2" ySplit="8" topLeftCell="C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" sqref="K7:K8"/>
    </sheetView>
  </sheetViews>
  <sheetFormatPr defaultColWidth="9.140625" defaultRowHeight="15" outlineLevelCol="1"/>
  <cols>
    <col min="1" max="1" width="8.8515625" style="6" customWidth="1"/>
    <col min="2" max="2" width="38.140625" style="0" customWidth="1"/>
    <col min="3" max="3" width="11.28125" style="0" customWidth="1"/>
    <col min="4" max="4" width="14.140625" style="0" customWidth="1"/>
    <col min="5" max="10" width="13.140625" style="0" hidden="1" customWidth="1" outlineLevel="1"/>
    <col min="11" max="11" width="36.7109375" style="0" customWidth="1" collapsed="1"/>
    <col min="12" max="12" width="29.28125" style="29" customWidth="1"/>
    <col min="13" max="13" width="12.8515625" style="30" customWidth="1"/>
    <col min="14" max="14" width="12.57421875" style="30" customWidth="1"/>
    <col min="15" max="15" width="13.421875" style="30" customWidth="1"/>
    <col min="16" max="16" width="16.421875" style="94" customWidth="1"/>
    <col min="17" max="17" width="8.8515625" style="30" customWidth="1"/>
  </cols>
  <sheetData>
    <row r="1" spans="5:16" ht="15">
      <c r="E1" s="1"/>
      <c r="F1" s="1"/>
      <c r="G1" s="1"/>
      <c r="H1" s="1"/>
      <c r="I1" s="1"/>
      <c r="J1" s="1"/>
      <c r="K1" s="2"/>
      <c r="P1" s="83"/>
    </row>
    <row r="2" spans="2:16" ht="18.75">
      <c r="B2" s="381" t="s">
        <v>319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2:16" ht="18.75">
      <c r="B3" s="382" t="s">
        <v>289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2:16" ht="15">
      <c r="B4" s="383" t="s">
        <v>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2:16" ht="18.75">
      <c r="B5" s="384" t="s">
        <v>301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</row>
    <row r="6" spans="2:16" ht="19.5" thickBot="1">
      <c r="B6" s="3"/>
      <c r="C6" s="3"/>
      <c r="D6" s="3"/>
      <c r="E6" s="3"/>
      <c r="F6" s="103"/>
      <c r="G6" s="103"/>
      <c r="H6" s="103"/>
      <c r="I6" s="164"/>
      <c r="J6" s="172"/>
      <c r="K6" s="3"/>
      <c r="L6" s="26"/>
      <c r="M6" s="5"/>
      <c r="N6" s="5"/>
      <c r="O6" s="5"/>
      <c r="P6" s="84"/>
    </row>
    <row r="7" spans="1:17" s="8" customFormat="1" ht="15" customHeight="1" thickBot="1">
      <c r="A7" s="43"/>
      <c r="B7" s="385" t="s">
        <v>1</v>
      </c>
      <c r="C7" s="385" t="s">
        <v>2</v>
      </c>
      <c r="D7" s="385" t="s">
        <v>3</v>
      </c>
      <c r="E7" s="385"/>
      <c r="F7" s="104"/>
      <c r="G7" s="104"/>
      <c r="H7" s="104"/>
      <c r="I7" s="165"/>
      <c r="J7" s="173"/>
      <c r="K7" s="387" t="s">
        <v>4</v>
      </c>
      <c r="L7" s="364" t="s">
        <v>5</v>
      </c>
      <c r="M7" s="372" t="s">
        <v>170</v>
      </c>
      <c r="N7" s="358" t="s">
        <v>171</v>
      </c>
      <c r="O7" s="360" t="s">
        <v>172</v>
      </c>
      <c r="P7" s="378" t="s">
        <v>193</v>
      </c>
      <c r="Q7" s="32"/>
    </row>
    <row r="8" spans="1:17" s="8" customFormat="1" ht="76.5" customHeight="1" thickBot="1">
      <c r="A8" s="44"/>
      <c r="B8" s="386"/>
      <c r="C8" s="386"/>
      <c r="D8" s="14" t="s">
        <v>340</v>
      </c>
      <c r="E8" s="14" t="s">
        <v>324</v>
      </c>
      <c r="F8" s="149" t="s">
        <v>326</v>
      </c>
      <c r="G8" s="149" t="s">
        <v>320</v>
      </c>
      <c r="H8" s="105" t="s">
        <v>327</v>
      </c>
      <c r="I8" s="166" t="s">
        <v>334</v>
      </c>
      <c r="J8" s="174" t="s">
        <v>339</v>
      </c>
      <c r="K8" s="388"/>
      <c r="L8" s="365"/>
      <c r="M8" s="373"/>
      <c r="N8" s="359"/>
      <c r="O8" s="359"/>
      <c r="P8" s="379"/>
      <c r="Q8" s="32"/>
    </row>
    <row r="9" spans="1:17" s="8" customFormat="1" ht="1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85"/>
      <c r="Q9" s="32"/>
    </row>
    <row r="10" spans="1:17" s="8" customFormat="1" ht="15">
      <c r="A10" s="49">
        <v>1</v>
      </c>
      <c r="B10" s="50" t="s">
        <v>8</v>
      </c>
      <c r="C10" s="137">
        <f>C13+C12+C14+C15</f>
        <v>198064.69999999998</v>
      </c>
      <c r="D10" s="137">
        <f>D12+D13+D14+D15+F12</f>
        <v>192717.33</v>
      </c>
      <c r="E10" s="137">
        <f aca="true" t="shared" si="0" ref="E10:J10">E12+E13+E14+E15</f>
        <v>17012.43</v>
      </c>
      <c r="F10" s="51">
        <f t="shared" si="0"/>
        <v>19030.100000000002</v>
      </c>
      <c r="G10" s="51">
        <f t="shared" si="0"/>
        <v>2615.8</v>
      </c>
      <c r="H10" s="51">
        <f t="shared" si="0"/>
        <v>10941.400000000001</v>
      </c>
      <c r="I10" s="51">
        <f t="shared" si="0"/>
        <v>2733.0999999999995</v>
      </c>
      <c r="J10" s="51">
        <f t="shared" si="0"/>
        <v>0</v>
      </c>
      <c r="K10" s="18"/>
      <c r="L10" s="52" t="s">
        <v>8</v>
      </c>
      <c r="M10" s="31"/>
      <c r="N10" s="31"/>
      <c r="O10" s="31"/>
      <c r="P10" s="86"/>
      <c r="Q10" s="32"/>
    </row>
    <row r="11" spans="1:17" s="8" customFormat="1" ht="15">
      <c r="A11" s="9"/>
      <c r="B11" s="11" t="s">
        <v>9</v>
      </c>
      <c r="C11" s="17"/>
      <c r="D11" s="17"/>
      <c r="E11" s="17"/>
      <c r="F11" s="17"/>
      <c r="G11" s="17"/>
      <c r="H11" s="17"/>
      <c r="I11" s="17"/>
      <c r="J11" s="17"/>
      <c r="K11" s="18"/>
      <c r="L11" s="53" t="s">
        <v>9</v>
      </c>
      <c r="M11" s="31"/>
      <c r="N11" s="31"/>
      <c r="O11" s="31"/>
      <c r="P11" s="86"/>
      <c r="Q11" s="32"/>
    </row>
    <row r="12" spans="1:17" s="8" customFormat="1" ht="15">
      <c r="A12" s="9" t="s">
        <v>10</v>
      </c>
      <c r="B12" s="10" t="s">
        <v>162</v>
      </c>
      <c r="C12" s="17" t="s">
        <v>266</v>
      </c>
      <c r="D12" s="115">
        <f>108882.3+E12</f>
        <v>120631.7</v>
      </c>
      <c r="E12" s="115">
        <v>11749.4</v>
      </c>
      <c r="F12" s="167">
        <f>1936.1+G12+H12+I12</f>
        <v>13309.800000000001</v>
      </c>
      <c r="G12" s="167" t="s">
        <v>321</v>
      </c>
      <c r="H12" s="167" t="s">
        <v>328</v>
      </c>
      <c r="I12" s="167" t="s">
        <v>335</v>
      </c>
      <c r="J12" s="167">
        <v>0</v>
      </c>
      <c r="K12" s="54" t="s">
        <v>165</v>
      </c>
      <c r="L12" s="55" t="s">
        <v>162</v>
      </c>
      <c r="M12" s="56" t="s">
        <v>269</v>
      </c>
      <c r="N12" s="42">
        <v>37154</v>
      </c>
      <c r="O12" s="31"/>
      <c r="P12" s="86"/>
      <c r="Q12" s="32"/>
    </row>
    <row r="13" spans="1:17" s="8" customFormat="1" ht="15">
      <c r="A13" s="9" t="s">
        <v>11</v>
      </c>
      <c r="B13" s="10" t="s">
        <v>12</v>
      </c>
      <c r="C13" s="17">
        <v>32194.3</v>
      </c>
      <c r="D13" s="115">
        <f>27494.4+E13+F13</f>
        <v>33568.5</v>
      </c>
      <c r="E13" s="115">
        <v>2940.6</v>
      </c>
      <c r="F13" s="167">
        <f>445.5+G13+H13+I13</f>
        <v>3133.5</v>
      </c>
      <c r="G13" s="167" t="s">
        <v>322</v>
      </c>
      <c r="H13" s="167" t="s">
        <v>329</v>
      </c>
      <c r="I13" s="167" t="s">
        <v>336</v>
      </c>
      <c r="J13" s="167">
        <v>0</v>
      </c>
      <c r="K13" s="371" t="s">
        <v>166</v>
      </c>
      <c r="L13" s="55" t="s">
        <v>12</v>
      </c>
      <c r="M13" s="395" t="s">
        <v>270</v>
      </c>
      <c r="N13" s="396"/>
      <c r="O13" s="396"/>
      <c r="P13" s="397"/>
      <c r="Q13" s="32"/>
    </row>
    <row r="14" spans="1:17" s="8" customFormat="1" ht="15">
      <c r="A14" s="9" t="s">
        <v>13</v>
      </c>
      <c r="B14" s="10" t="s">
        <v>14</v>
      </c>
      <c r="C14" s="17">
        <v>8398.5</v>
      </c>
      <c r="D14" s="115">
        <f>8014.4+E14+F14</f>
        <v>9800.300000000001</v>
      </c>
      <c r="E14" s="115">
        <v>853.7</v>
      </c>
      <c r="F14" s="167">
        <f>116.2+G14+H14+I14</f>
        <v>932.2</v>
      </c>
      <c r="G14" s="167" t="s">
        <v>323</v>
      </c>
      <c r="H14" s="167" t="s">
        <v>330</v>
      </c>
      <c r="I14" s="167" t="s">
        <v>337</v>
      </c>
      <c r="J14" s="167">
        <v>0</v>
      </c>
      <c r="K14" s="371"/>
      <c r="L14" s="55" t="s">
        <v>14</v>
      </c>
      <c r="M14" s="398"/>
      <c r="N14" s="399"/>
      <c r="O14" s="399"/>
      <c r="P14" s="400"/>
      <c r="Q14" s="32"/>
    </row>
    <row r="15" spans="1:17" s="8" customFormat="1" ht="15">
      <c r="A15" s="9" t="s">
        <v>15</v>
      </c>
      <c r="B15" s="10" t="s">
        <v>16</v>
      </c>
      <c r="C15" s="17">
        <v>17496.9</v>
      </c>
      <c r="D15" s="115">
        <f>12283.7+E15+F15</f>
        <v>15407.03</v>
      </c>
      <c r="E15" s="115">
        <v>1468.73</v>
      </c>
      <c r="F15" s="167">
        <f>242+G15+H15+I15</f>
        <v>1654.6</v>
      </c>
      <c r="G15" s="167" t="s">
        <v>325</v>
      </c>
      <c r="H15" s="167" t="s">
        <v>331</v>
      </c>
      <c r="I15" s="167" t="s">
        <v>338</v>
      </c>
      <c r="J15" s="167">
        <v>0</v>
      </c>
      <c r="K15" s="371"/>
      <c r="L15" s="55" t="s">
        <v>16</v>
      </c>
      <c r="M15" s="401"/>
      <c r="N15" s="402"/>
      <c r="O15" s="402"/>
      <c r="P15" s="403"/>
      <c r="Q15" s="32"/>
    </row>
    <row r="16" spans="1:17" s="78" customFormat="1" ht="15">
      <c r="A16" s="49" t="s">
        <v>26</v>
      </c>
      <c r="B16" s="50" t="s">
        <v>17</v>
      </c>
      <c r="C16" s="74">
        <f>C18+C19+C20+C21+C22+C23+C24+C25+C26+C27</f>
        <v>61096.5</v>
      </c>
      <c r="D16" s="74">
        <f>D18+D19+D20+D21+D22+D23+D24+D25+D26+D27</f>
        <v>67022.5</v>
      </c>
      <c r="E16" s="74">
        <f>E18+E19+E20+E21+E22+E23+E24+E25+E26+E27</f>
        <v>6535.5</v>
      </c>
      <c r="F16" s="74">
        <f>SUM(F18:F27)</f>
        <v>9046.1</v>
      </c>
      <c r="G16" s="74">
        <f>G18+G19+G20+G21+G22+G23+G24+G25+G26+G27</f>
        <v>1372.2</v>
      </c>
      <c r="H16" s="74">
        <f>H18+H19+H20+H21+H22+H23+H24+H25+H26+H27</f>
        <v>1729.1999999999998</v>
      </c>
      <c r="I16" s="74">
        <f>I18+I19+I20+I21+I22+I23+I24+I25+I26+I27</f>
        <v>4261.100000000001</v>
      </c>
      <c r="J16" s="74">
        <f>J18+J19+J20+J21+J22+J23+J24+J25+J26+J27</f>
        <v>0</v>
      </c>
      <c r="K16" s="371" t="s">
        <v>166</v>
      </c>
      <c r="L16" s="52" t="s">
        <v>17</v>
      </c>
      <c r="M16" s="76"/>
      <c r="N16" s="76"/>
      <c r="O16" s="76"/>
      <c r="P16" s="87"/>
      <c r="Q16" s="77"/>
    </row>
    <row r="17" spans="1:17" s="8" customFormat="1" ht="15">
      <c r="A17" s="57"/>
      <c r="B17" s="11" t="s">
        <v>9</v>
      </c>
      <c r="C17" s="18"/>
      <c r="D17" s="19"/>
      <c r="E17" s="19"/>
      <c r="F17" s="102"/>
      <c r="G17" s="102"/>
      <c r="H17" s="102"/>
      <c r="I17" s="162"/>
      <c r="J17" s="175"/>
      <c r="K17" s="371"/>
      <c r="L17" s="53" t="s">
        <v>9</v>
      </c>
      <c r="M17" s="31"/>
      <c r="N17" s="31"/>
      <c r="O17" s="31"/>
      <c r="P17" s="86"/>
      <c r="Q17" s="32"/>
    </row>
    <row r="18" spans="1:17" s="8" customFormat="1" ht="15">
      <c r="A18" s="9" t="s">
        <v>27</v>
      </c>
      <c r="B18" s="10" t="s">
        <v>18</v>
      </c>
      <c r="C18" s="18">
        <v>15117.3</v>
      </c>
      <c r="D18" s="19">
        <f>14116.4+E18+F18</f>
        <v>18267.2</v>
      </c>
      <c r="E18" s="102">
        <v>846.1</v>
      </c>
      <c r="F18" s="102">
        <f>G18+H18+I18</f>
        <v>3304.7</v>
      </c>
      <c r="G18" s="102">
        <v>256.2</v>
      </c>
      <c r="H18" s="102">
        <v>1584.6</v>
      </c>
      <c r="I18" s="162">
        <v>1463.9</v>
      </c>
      <c r="J18" s="175">
        <v>0</v>
      </c>
      <c r="K18" s="371"/>
      <c r="L18" s="55" t="s">
        <v>18</v>
      </c>
      <c r="M18" s="395" t="s">
        <v>270</v>
      </c>
      <c r="N18" s="396"/>
      <c r="O18" s="396"/>
      <c r="P18" s="397"/>
      <c r="Q18" s="32"/>
    </row>
    <row r="19" spans="1:17" s="8" customFormat="1" ht="25.5">
      <c r="A19" s="9" t="s">
        <v>28</v>
      </c>
      <c r="B19" s="58" t="s">
        <v>19</v>
      </c>
      <c r="C19" s="18">
        <v>111.3</v>
      </c>
      <c r="D19" s="19">
        <f>88.2+E19+F19</f>
        <v>106.9</v>
      </c>
      <c r="E19" s="102">
        <v>4.5</v>
      </c>
      <c r="F19" s="102">
        <f>G19+H19+I19</f>
        <v>14.2</v>
      </c>
      <c r="G19" s="102">
        <v>5.8</v>
      </c>
      <c r="H19" s="102">
        <v>0</v>
      </c>
      <c r="I19" s="162">
        <v>8.4</v>
      </c>
      <c r="J19" s="175">
        <v>0</v>
      </c>
      <c r="K19" s="371"/>
      <c r="L19" s="55" t="s">
        <v>19</v>
      </c>
      <c r="M19" s="398"/>
      <c r="N19" s="399"/>
      <c r="O19" s="399"/>
      <c r="P19" s="400"/>
      <c r="Q19" s="32"/>
    </row>
    <row r="20" spans="1:17" s="8" customFormat="1" ht="15">
      <c r="A20" s="9" t="s">
        <v>29</v>
      </c>
      <c r="B20" s="10" t="s">
        <v>20</v>
      </c>
      <c r="C20" s="18">
        <v>31080</v>
      </c>
      <c r="D20" s="19">
        <f>25021.3+E20+F20</f>
        <v>32949.6</v>
      </c>
      <c r="E20" s="102">
        <v>2356.6</v>
      </c>
      <c r="F20" s="102">
        <f>1598.2+G20+H20+I20</f>
        <v>5571.700000000001</v>
      </c>
      <c r="G20" s="102">
        <v>1094.2</v>
      </c>
      <c r="H20" s="102">
        <v>130</v>
      </c>
      <c r="I20" s="162">
        <v>2749.3</v>
      </c>
      <c r="J20" s="175">
        <v>0</v>
      </c>
      <c r="K20" s="371"/>
      <c r="L20" s="55" t="s">
        <v>20</v>
      </c>
      <c r="M20" s="398"/>
      <c r="N20" s="399"/>
      <c r="O20" s="399"/>
      <c r="P20" s="400"/>
      <c r="Q20" s="32"/>
    </row>
    <row r="21" spans="1:17" s="8" customFormat="1" ht="15">
      <c r="A21" s="9" t="s">
        <v>30</v>
      </c>
      <c r="B21" s="10" t="s">
        <v>21</v>
      </c>
      <c r="C21" s="18">
        <v>11537.6</v>
      </c>
      <c r="D21" s="19">
        <f>8750.2+E21+F21</f>
        <v>12095</v>
      </c>
      <c r="E21" s="102">
        <v>3259.4</v>
      </c>
      <c r="F21" s="102">
        <v>85.4</v>
      </c>
      <c r="G21" s="102"/>
      <c r="H21" s="102">
        <v>0</v>
      </c>
      <c r="I21" s="162">
        <v>0</v>
      </c>
      <c r="J21" s="175">
        <v>0</v>
      </c>
      <c r="K21" s="371"/>
      <c r="L21" s="55" t="s">
        <v>21</v>
      </c>
      <c r="M21" s="398"/>
      <c r="N21" s="399"/>
      <c r="O21" s="399"/>
      <c r="P21" s="400"/>
      <c r="Q21" s="32"/>
    </row>
    <row r="22" spans="1:17" s="8" customFormat="1" ht="15">
      <c r="A22" s="9" t="s">
        <v>31</v>
      </c>
      <c r="B22" s="10" t="s">
        <v>22</v>
      </c>
      <c r="C22" s="18">
        <v>152.4</v>
      </c>
      <c r="D22" s="19">
        <f>114.1+E22+F22</f>
        <v>152.5</v>
      </c>
      <c r="E22" s="102">
        <v>38.4</v>
      </c>
      <c r="F22" s="102"/>
      <c r="G22" s="102"/>
      <c r="H22" s="102">
        <v>0</v>
      </c>
      <c r="I22" s="162">
        <v>0</v>
      </c>
      <c r="J22" s="175">
        <v>0</v>
      </c>
      <c r="K22" s="371"/>
      <c r="L22" s="55" t="s">
        <v>22</v>
      </c>
      <c r="M22" s="398"/>
      <c r="N22" s="399"/>
      <c r="O22" s="399"/>
      <c r="P22" s="400"/>
      <c r="Q22" s="32"/>
    </row>
    <row r="23" spans="1:17" s="8" customFormat="1" ht="15">
      <c r="A23" s="9" t="s">
        <v>32</v>
      </c>
      <c r="B23" s="10" t="s">
        <v>23</v>
      </c>
      <c r="C23" s="18">
        <v>1385.4</v>
      </c>
      <c r="D23" s="19">
        <v>1385.4</v>
      </c>
      <c r="E23" s="102"/>
      <c r="F23" s="102"/>
      <c r="G23" s="102"/>
      <c r="H23" s="102">
        <v>0</v>
      </c>
      <c r="I23" s="162">
        <v>0</v>
      </c>
      <c r="J23" s="175">
        <v>0</v>
      </c>
      <c r="K23" s="371"/>
      <c r="L23" s="55" t="s">
        <v>23</v>
      </c>
      <c r="M23" s="398"/>
      <c r="N23" s="399"/>
      <c r="O23" s="399"/>
      <c r="P23" s="400"/>
      <c r="Q23" s="32"/>
    </row>
    <row r="24" spans="1:17" s="8" customFormat="1" ht="15">
      <c r="A24" s="9" t="s">
        <v>33</v>
      </c>
      <c r="B24" s="10" t="s">
        <v>24</v>
      </c>
      <c r="C24" s="18">
        <v>693.2</v>
      </c>
      <c r="D24" s="19">
        <v>693.2</v>
      </c>
      <c r="E24" s="102"/>
      <c r="F24" s="102"/>
      <c r="G24" s="102"/>
      <c r="H24" s="102">
        <v>0</v>
      </c>
      <c r="I24" s="162">
        <v>0</v>
      </c>
      <c r="J24" s="175">
        <v>0</v>
      </c>
      <c r="K24" s="371"/>
      <c r="L24" s="55" t="s">
        <v>24</v>
      </c>
      <c r="M24" s="398"/>
      <c r="N24" s="399"/>
      <c r="O24" s="399"/>
      <c r="P24" s="400"/>
      <c r="Q24" s="32"/>
    </row>
    <row r="25" spans="1:17" s="8" customFormat="1" ht="15">
      <c r="A25" s="9" t="s">
        <v>34</v>
      </c>
      <c r="B25" s="59" t="s">
        <v>149</v>
      </c>
      <c r="C25" s="18">
        <v>0</v>
      </c>
      <c r="D25" s="19">
        <f>962.3+F25</f>
        <v>999</v>
      </c>
      <c r="E25" s="102"/>
      <c r="F25" s="102">
        <f>H25+I25</f>
        <v>36.7</v>
      </c>
      <c r="G25" s="102"/>
      <c r="H25" s="102">
        <v>14.6</v>
      </c>
      <c r="I25" s="162">
        <v>22.1</v>
      </c>
      <c r="J25" s="175">
        <v>0</v>
      </c>
      <c r="K25" s="371"/>
      <c r="L25" s="60" t="s">
        <v>149</v>
      </c>
      <c r="M25" s="398"/>
      <c r="N25" s="399"/>
      <c r="O25" s="399"/>
      <c r="P25" s="400"/>
      <c r="Q25" s="32"/>
    </row>
    <row r="26" spans="1:17" s="8" customFormat="1" ht="15">
      <c r="A26" s="9" t="s">
        <v>35</v>
      </c>
      <c r="B26" s="59" t="s">
        <v>25</v>
      </c>
      <c r="C26" s="18">
        <v>900</v>
      </c>
      <c r="D26" s="19">
        <f>190.5+F26</f>
        <v>191.3</v>
      </c>
      <c r="E26" s="102"/>
      <c r="F26" s="102">
        <f>I26</f>
        <v>0.8</v>
      </c>
      <c r="G26" s="102"/>
      <c r="H26" s="102">
        <v>0</v>
      </c>
      <c r="I26" s="162">
        <v>0.8</v>
      </c>
      <c r="J26" s="175">
        <v>0</v>
      </c>
      <c r="K26" s="371"/>
      <c r="L26" s="60" t="s">
        <v>25</v>
      </c>
      <c r="M26" s="398"/>
      <c r="N26" s="399"/>
      <c r="O26" s="399"/>
      <c r="P26" s="400"/>
      <c r="Q26" s="32"/>
    </row>
    <row r="27" spans="1:17" s="8" customFormat="1" ht="15">
      <c r="A27" s="9" t="s">
        <v>150</v>
      </c>
      <c r="B27" s="59" t="s">
        <v>151</v>
      </c>
      <c r="C27" s="18">
        <v>119.3</v>
      </c>
      <c r="D27" s="19">
        <f>119.3+E27+F27</f>
        <v>182.4</v>
      </c>
      <c r="E27" s="102">
        <v>30.5</v>
      </c>
      <c r="F27" s="102">
        <f>G27+I27</f>
        <v>32.6</v>
      </c>
      <c r="G27" s="102">
        <v>16</v>
      </c>
      <c r="H27" s="102">
        <v>0</v>
      </c>
      <c r="I27" s="162">
        <v>16.6</v>
      </c>
      <c r="J27" s="175">
        <v>0</v>
      </c>
      <c r="K27" s="371"/>
      <c r="L27" s="60" t="s">
        <v>151</v>
      </c>
      <c r="M27" s="401"/>
      <c r="N27" s="402"/>
      <c r="O27" s="402"/>
      <c r="P27" s="403"/>
      <c r="Q27" s="32"/>
    </row>
    <row r="28" spans="1:17" s="78" customFormat="1" ht="15">
      <c r="A28" s="49" t="s">
        <v>46</v>
      </c>
      <c r="B28" s="50" t="s">
        <v>36</v>
      </c>
      <c r="C28" s="74">
        <f aca="true" t="shared" si="1" ref="C28:J28">C30+C31+C32+C33+C34+C35</f>
        <v>76489.7</v>
      </c>
      <c r="D28" s="74">
        <f t="shared" si="1"/>
        <v>74643.5</v>
      </c>
      <c r="E28" s="74">
        <f t="shared" si="1"/>
        <v>4412.799999999999</v>
      </c>
      <c r="F28" s="74">
        <f>SUM(F30:F35)</f>
        <v>3115.1</v>
      </c>
      <c r="G28" s="74">
        <f t="shared" si="1"/>
        <v>724.4000000000001</v>
      </c>
      <c r="H28" s="74">
        <f t="shared" si="1"/>
        <v>951.4</v>
      </c>
      <c r="I28" s="74">
        <f t="shared" si="1"/>
        <v>1081.1</v>
      </c>
      <c r="J28" s="74">
        <f t="shared" si="1"/>
        <v>0.5</v>
      </c>
      <c r="K28" s="50" t="s">
        <v>36</v>
      </c>
      <c r="L28" s="75"/>
      <c r="M28" s="76"/>
      <c r="N28" s="76"/>
      <c r="O28" s="76"/>
      <c r="P28" s="87"/>
      <c r="Q28" s="77"/>
    </row>
    <row r="29" spans="1:17" s="8" customFormat="1" ht="15">
      <c r="A29" s="57"/>
      <c r="B29" s="11" t="s">
        <v>9</v>
      </c>
      <c r="C29" s="18"/>
      <c r="D29" s="19"/>
      <c r="E29" s="19"/>
      <c r="F29" s="102"/>
      <c r="G29" s="102"/>
      <c r="H29" s="102"/>
      <c r="I29" s="162"/>
      <c r="J29" s="175"/>
      <c r="K29" s="11" t="s">
        <v>9</v>
      </c>
      <c r="L29" s="37"/>
      <c r="M29" s="31"/>
      <c r="N29" s="31"/>
      <c r="O29" s="31"/>
      <c r="P29" s="86"/>
      <c r="Q29" s="32"/>
    </row>
    <row r="30" spans="1:17" s="8" customFormat="1" ht="27.75" customHeight="1">
      <c r="A30" s="9" t="s">
        <v>47</v>
      </c>
      <c r="B30" s="10" t="s">
        <v>37</v>
      </c>
      <c r="C30" s="18">
        <v>25000</v>
      </c>
      <c r="D30" s="19">
        <f>18750+E30+F30</f>
        <v>24820</v>
      </c>
      <c r="E30" s="102">
        <v>3650</v>
      </c>
      <c r="F30" s="102">
        <f>350+G30+H30+I30+J30</f>
        <v>2420</v>
      </c>
      <c r="G30" s="102">
        <v>720</v>
      </c>
      <c r="H30" s="102">
        <v>940</v>
      </c>
      <c r="I30" s="162">
        <v>410</v>
      </c>
      <c r="J30" s="175">
        <v>0</v>
      </c>
      <c r="K30" s="10" t="s">
        <v>37</v>
      </c>
      <c r="L30" s="406" t="s">
        <v>272</v>
      </c>
      <c r="M30" s="368" t="s">
        <v>271</v>
      </c>
      <c r="N30" s="366">
        <v>42060</v>
      </c>
      <c r="O30" s="366">
        <v>44179</v>
      </c>
      <c r="P30" s="404">
        <v>100000</v>
      </c>
      <c r="Q30" s="32"/>
    </row>
    <row r="31" spans="1:17" s="8" customFormat="1" ht="30.75" customHeight="1">
      <c r="A31" s="9" t="s">
        <v>48</v>
      </c>
      <c r="B31" s="10" t="s">
        <v>38</v>
      </c>
      <c r="C31" s="18">
        <v>12837.6</v>
      </c>
      <c r="D31" s="19">
        <f>9917.8+E31+F31</f>
        <v>11292.7</v>
      </c>
      <c r="E31" s="102">
        <v>712.7</v>
      </c>
      <c r="F31" s="102">
        <f>I31</f>
        <v>662.2</v>
      </c>
      <c r="G31" s="102">
        <v>0</v>
      </c>
      <c r="H31" s="102">
        <v>0</v>
      </c>
      <c r="I31" s="162">
        <v>662.2</v>
      </c>
      <c r="J31" s="175">
        <v>0</v>
      </c>
      <c r="K31" s="10" t="s">
        <v>38</v>
      </c>
      <c r="L31" s="367"/>
      <c r="M31" s="367"/>
      <c r="N31" s="367"/>
      <c r="O31" s="367"/>
      <c r="P31" s="405"/>
      <c r="Q31" s="32"/>
    </row>
    <row r="32" spans="1:17" s="8" customFormat="1" ht="15">
      <c r="A32" s="9" t="s">
        <v>49</v>
      </c>
      <c r="B32" s="10" t="s">
        <v>39</v>
      </c>
      <c r="C32" s="18">
        <v>576</v>
      </c>
      <c r="D32" s="19">
        <f>427.3+E32+F32</f>
        <v>478.6</v>
      </c>
      <c r="E32" s="102">
        <v>26.2</v>
      </c>
      <c r="F32" s="102">
        <f>6.6+G32+H32+I32+J32</f>
        <v>25.1</v>
      </c>
      <c r="G32" s="102">
        <v>4.2</v>
      </c>
      <c r="H32" s="102">
        <v>10.5</v>
      </c>
      <c r="I32" s="162">
        <v>3.3</v>
      </c>
      <c r="J32" s="175">
        <v>0.5</v>
      </c>
      <c r="K32" s="10" t="s">
        <v>39</v>
      </c>
      <c r="L32" s="37"/>
      <c r="M32" s="31"/>
      <c r="N32" s="31"/>
      <c r="O32" s="31"/>
      <c r="P32" s="86"/>
      <c r="Q32" s="32"/>
    </row>
    <row r="33" spans="1:17" s="8" customFormat="1" ht="15">
      <c r="A33" s="9" t="s">
        <v>50</v>
      </c>
      <c r="B33" s="13" t="s">
        <v>40</v>
      </c>
      <c r="C33" s="18">
        <v>34843.9</v>
      </c>
      <c r="D33" s="19">
        <v>34843.9</v>
      </c>
      <c r="E33" s="102"/>
      <c r="F33" s="102"/>
      <c r="G33" s="102">
        <v>0</v>
      </c>
      <c r="H33" s="102">
        <v>0</v>
      </c>
      <c r="I33" s="162">
        <v>0</v>
      </c>
      <c r="J33" s="175">
        <v>0</v>
      </c>
      <c r="K33" s="13" t="s">
        <v>40</v>
      </c>
      <c r="L33" s="406" t="s">
        <v>275</v>
      </c>
      <c r="M33" s="410" t="s">
        <v>273</v>
      </c>
      <c r="N33" s="366">
        <v>42661</v>
      </c>
      <c r="O33" s="368" t="s">
        <v>274</v>
      </c>
      <c r="P33" s="404">
        <v>2000</v>
      </c>
      <c r="Q33" s="32"/>
    </row>
    <row r="34" spans="1:17" s="8" customFormat="1" ht="15">
      <c r="A34" s="9" t="s">
        <v>51</v>
      </c>
      <c r="B34" s="13" t="s">
        <v>41</v>
      </c>
      <c r="C34" s="18">
        <v>3007.2</v>
      </c>
      <c r="D34" s="19">
        <v>3007.2</v>
      </c>
      <c r="E34" s="102"/>
      <c r="F34" s="102"/>
      <c r="G34" s="102">
        <v>0</v>
      </c>
      <c r="H34" s="102">
        <v>0</v>
      </c>
      <c r="I34" s="162">
        <v>0</v>
      </c>
      <c r="J34" s="175">
        <v>0</v>
      </c>
      <c r="K34" s="13" t="s">
        <v>41</v>
      </c>
      <c r="L34" s="367"/>
      <c r="M34" s="367"/>
      <c r="N34" s="367"/>
      <c r="O34" s="367"/>
      <c r="P34" s="405"/>
      <c r="Q34" s="32"/>
    </row>
    <row r="35" spans="1:17" s="8" customFormat="1" ht="15">
      <c r="A35" s="9" t="s">
        <v>164</v>
      </c>
      <c r="B35" s="13" t="s">
        <v>163</v>
      </c>
      <c r="C35" s="18">
        <v>225</v>
      </c>
      <c r="D35" s="19">
        <f>169.4+E35+F35</f>
        <v>201.10000000000002</v>
      </c>
      <c r="E35" s="102">
        <v>23.9</v>
      </c>
      <c r="F35" s="102">
        <f>1.1+G35+H35+I35</f>
        <v>7.8</v>
      </c>
      <c r="G35" s="102">
        <v>0.2</v>
      </c>
      <c r="H35" s="102">
        <v>0.9</v>
      </c>
      <c r="I35" s="162">
        <v>5.6</v>
      </c>
      <c r="J35" s="175">
        <v>0</v>
      </c>
      <c r="K35" s="13" t="s">
        <v>163</v>
      </c>
      <c r="L35" s="37"/>
      <c r="M35" s="31"/>
      <c r="N35" s="31"/>
      <c r="O35" s="31"/>
      <c r="P35" s="86"/>
      <c r="Q35" s="32"/>
    </row>
    <row r="36" spans="1:17" s="78" customFormat="1" ht="15">
      <c r="A36" s="49" t="s">
        <v>52</v>
      </c>
      <c r="B36" s="50" t="s">
        <v>42</v>
      </c>
      <c r="C36" s="74">
        <f aca="true" t="shared" si="2" ref="C36:J36">C38+C39+C40</f>
        <v>204001.8</v>
      </c>
      <c r="D36" s="74">
        <f t="shared" si="2"/>
        <v>189896.8</v>
      </c>
      <c r="E36" s="74">
        <f t="shared" si="2"/>
        <v>14189.599999999999</v>
      </c>
      <c r="F36" s="74">
        <f t="shared" si="2"/>
        <v>18079.3</v>
      </c>
      <c r="G36" s="74">
        <f t="shared" si="2"/>
        <v>3521</v>
      </c>
      <c r="H36" s="74">
        <f t="shared" si="2"/>
        <v>0</v>
      </c>
      <c r="I36" s="74">
        <f t="shared" si="2"/>
        <v>4148</v>
      </c>
      <c r="J36" s="74">
        <f t="shared" si="2"/>
        <v>0.8</v>
      </c>
      <c r="K36" s="50" t="s">
        <v>42</v>
      </c>
      <c r="L36" s="75"/>
      <c r="M36" s="76"/>
      <c r="N36" s="76"/>
      <c r="O36" s="76"/>
      <c r="P36" s="87"/>
      <c r="Q36" s="77"/>
    </row>
    <row r="37" spans="1:17" s="8" customFormat="1" ht="15">
      <c r="A37" s="57"/>
      <c r="B37" s="11" t="s">
        <v>9</v>
      </c>
      <c r="C37" s="18"/>
      <c r="D37" s="19"/>
      <c r="E37" s="19"/>
      <c r="F37" s="102"/>
      <c r="G37" s="102"/>
      <c r="H37" s="102"/>
      <c r="I37" s="162"/>
      <c r="J37" s="175"/>
      <c r="K37" s="11" t="s">
        <v>9</v>
      </c>
      <c r="L37" s="37"/>
      <c r="M37" s="31"/>
      <c r="N37" s="31"/>
      <c r="O37" s="31"/>
      <c r="P37" s="86"/>
      <c r="Q37" s="32"/>
    </row>
    <row r="38" spans="1:17" s="8" customFormat="1" ht="30">
      <c r="A38" s="9" t="s">
        <v>53</v>
      </c>
      <c r="B38" s="10" t="s">
        <v>43</v>
      </c>
      <c r="C38" s="18">
        <v>169941.1</v>
      </c>
      <c r="D38" s="19">
        <f>137483.9+E38+F38</f>
        <v>164618.3</v>
      </c>
      <c r="E38" s="102">
        <v>12735.3</v>
      </c>
      <c r="F38" s="102">
        <f>10409.5+G38+I38+J38</f>
        <v>14399.099999999999</v>
      </c>
      <c r="G38" s="102">
        <v>3510</v>
      </c>
      <c r="H38" s="102">
        <v>0</v>
      </c>
      <c r="I38" s="162">
        <v>478.8</v>
      </c>
      <c r="J38" s="175">
        <v>0.8</v>
      </c>
      <c r="K38" s="10" t="s">
        <v>43</v>
      </c>
      <c r="L38" s="37" t="s">
        <v>278</v>
      </c>
      <c r="M38" s="31" t="s">
        <v>276</v>
      </c>
      <c r="N38" s="42">
        <v>41051</v>
      </c>
      <c r="O38" s="31" t="s">
        <v>277</v>
      </c>
      <c r="P38" s="86"/>
      <c r="Q38" s="32"/>
    </row>
    <row r="39" spans="1:17" s="8" customFormat="1" ht="50.25" customHeight="1">
      <c r="A39" s="9" t="s">
        <v>54</v>
      </c>
      <c r="B39" s="10" t="s">
        <v>44</v>
      </c>
      <c r="C39" s="18">
        <v>34060.7</v>
      </c>
      <c r="D39" s="19">
        <f>20143.6+E39+F39</f>
        <v>25278.1</v>
      </c>
      <c r="E39" s="102">
        <v>1454.3</v>
      </c>
      <c r="F39" s="102">
        <f>G39+I39</f>
        <v>3680.2</v>
      </c>
      <c r="G39" s="102">
        <v>11</v>
      </c>
      <c r="H39" s="102">
        <v>0</v>
      </c>
      <c r="I39" s="162">
        <v>3669.2</v>
      </c>
      <c r="J39" s="175">
        <v>0</v>
      </c>
      <c r="K39" s="10" t="s">
        <v>44</v>
      </c>
      <c r="L39" s="37" t="s">
        <v>279</v>
      </c>
      <c r="M39" s="21" t="s">
        <v>167</v>
      </c>
      <c r="N39" s="21"/>
      <c r="O39" s="21"/>
      <c r="P39" s="86"/>
      <c r="Q39" s="32"/>
    </row>
    <row r="40" spans="1:17" s="8" customFormat="1" ht="16.5">
      <c r="A40" s="9" t="s">
        <v>55</v>
      </c>
      <c r="B40" s="10" t="s">
        <v>45</v>
      </c>
      <c r="C40" s="18"/>
      <c r="D40" s="19">
        <v>0.4</v>
      </c>
      <c r="E40" s="19"/>
      <c r="F40" s="102">
        <v>0</v>
      </c>
      <c r="G40" s="102">
        <v>0</v>
      </c>
      <c r="H40" s="102">
        <v>0</v>
      </c>
      <c r="I40" s="162">
        <v>0</v>
      </c>
      <c r="J40" s="175">
        <v>0</v>
      </c>
      <c r="K40" s="10" t="s">
        <v>45</v>
      </c>
      <c r="L40" s="37" t="s">
        <v>169</v>
      </c>
      <c r="M40" s="61" t="s">
        <v>168</v>
      </c>
      <c r="N40" s="61"/>
      <c r="O40" s="61"/>
      <c r="P40" s="86"/>
      <c r="Q40" s="32"/>
    </row>
    <row r="41" spans="1:17" s="78" customFormat="1" ht="15">
      <c r="A41" s="49" t="s">
        <v>101</v>
      </c>
      <c r="B41" s="50" t="s">
        <v>56</v>
      </c>
      <c r="C41" s="74">
        <f>C43+C44+C45+C46+C47+C50+C52+C54+C55+C56+C57+C58+C59+C60+C61+C62+C63+C64+C65+C66+C68</f>
        <v>54983.799999999996</v>
      </c>
      <c r="D41" s="74">
        <f>D43+D44+D45+D46+D47+D50+D52+D54+D55+D56+D57+D58+D59+D60+D61+D62+D63+D64+D65+D66+D68+D67</f>
        <v>51420.03</v>
      </c>
      <c r="E41" s="74">
        <f>E43+E44+E45+E46+E47+E50+E52+E54+E55+E56+E57+E58+E59+E60+E61+E62+E63+E64+E65+E66+E68+E67</f>
        <v>7527.629999999999</v>
      </c>
      <c r="F41" s="74">
        <f>F43+F44+F45+F46+F47+F50+F52+F54+F55+F56+F57+F58+F59+F60+F61+F62+F63+F64+F65+F66+F68</f>
        <v>6788.900000000001</v>
      </c>
      <c r="G41" s="74">
        <f>G43+G44+G45+G46+G47+G50+G52+G54+G55+G56+G57+G58+G59+G60+G61+G62+G63+G64+G65+G66+G68</f>
        <v>441.79999999999995</v>
      </c>
      <c r="H41" s="74">
        <f>H43+H44+H45+H46+H47+H50+H52+H54+H55+H56+H57+H58+H59+H60+H61+H62+H63+H64+H65+H66+H68</f>
        <v>1206.8</v>
      </c>
      <c r="I41" s="74">
        <f>I43+I44+I45+I46+I47+I50+I52+I54+I55+I56+I57+I58+I59+I60+I61+I62+I63+I64+I65+I66+I68</f>
        <v>3586.6</v>
      </c>
      <c r="J41" s="74">
        <f>J43+J44+J45+J46+J47+J50+J52+J54+J55+J56+J57+J58+J59+J60+J61+J62+J63+J64+J65+J66+J68</f>
        <v>977.7999999999998</v>
      </c>
      <c r="K41" s="50" t="s">
        <v>56</v>
      </c>
      <c r="L41" s="75"/>
      <c r="M41" s="76"/>
      <c r="N41" s="76"/>
      <c r="O41" s="76"/>
      <c r="P41" s="87"/>
      <c r="Q41" s="77"/>
    </row>
    <row r="42" spans="1:17" s="8" customFormat="1" ht="15">
      <c r="A42" s="57"/>
      <c r="B42" s="11" t="s">
        <v>9</v>
      </c>
      <c r="C42" s="18"/>
      <c r="D42" s="19"/>
      <c r="E42" s="19"/>
      <c r="F42" s="102"/>
      <c r="G42" s="102"/>
      <c r="H42" s="102"/>
      <c r="I42" s="162"/>
      <c r="J42" s="175"/>
      <c r="K42" s="11" t="s">
        <v>9</v>
      </c>
      <c r="L42" s="37"/>
      <c r="M42" s="31"/>
      <c r="N42" s="31"/>
      <c r="O42" s="31"/>
      <c r="P42" s="86"/>
      <c r="Q42" s="32"/>
    </row>
    <row r="43" spans="1:17" s="8" customFormat="1" ht="38.25">
      <c r="A43" s="9" t="s">
        <v>102</v>
      </c>
      <c r="B43" s="7" t="s">
        <v>57</v>
      </c>
      <c r="C43" s="18">
        <v>1580</v>
      </c>
      <c r="D43" s="19">
        <f>F43</f>
        <v>1580</v>
      </c>
      <c r="E43" s="102">
        <v>0</v>
      </c>
      <c r="F43" s="102">
        <f>I43</f>
        <v>1580</v>
      </c>
      <c r="G43" s="102">
        <v>0</v>
      </c>
      <c r="H43" s="102">
        <v>0</v>
      </c>
      <c r="I43" s="162">
        <v>1580</v>
      </c>
      <c r="J43" s="175">
        <v>0</v>
      </c>
      <c r="K43" s="7" t="s">
        <v>57</v>
      </c>
      <c r="L43" s="37" t="s">
        <v>280</v>
      </c>
      <c r="M43" s="31">
        <v>328</v>
      </c>
      <c r="N43" s="42">
        <v>40541</v>
      </c>
      <c r="O43" s="42">
        <v>44194</v>
      </c>
      <c r="P43" s="86">
        <v>25000</v>
      </c>
      <c r="Q43" s="32"/>
    </row>
    <row r="44" spans="1:17" s="8" customFormat="1" ht="30">
      <c r="A44" s="9" t="s">
        <v>103</v>
      </c>
      <c r="B44" s="7" t="s">
        <v>58</v>
      </c>
      <c r="C44" s="18">
        <v>7960.6</v>
      </c>
      <c r="D44" s="19">
        <f>2224.9+E44+F44</f>
        <v>2984.4</v>
      </c>
      <c r="E44" s="102">
        <v>174</v>
      </c>
      <c r="F44" s="102">
        <f>G44+H44+I44+J44</f>
        <v>585.5</v>
      </c>
      <c r="G44" s="102">
        <v>172.7</v>
      </c>
      <c r="H44" s="102">
        <v>172.7</v>
      </c>
      <c r="I44" s="162">
        <v>170.1</v>
      </c>
      <c r="J44" s="175">
        <v>70</v>
      </c>
      <c r="K44" s="7" t="s">
        <v>58</v>
      </c>
      <c r="L44" s="37" t="s">
        <v>281</v>
      </c>
      <c r="M44" s="21" t="s">
        <v>308</v>
      </c>
      <c r="N44" s="22" t="s">
        <v>305</v>
      </c>
      <c r="O44" s="22" t="s">
        <v>173</v>
      </c>
      <c r="P44" s="86" t="s">
        <v>307</v>
      </c>
      <c r="Q44" s="32"/>
    </row>
    <row r="45" spans="1:17" s="8" customFormat="1" ht="25.5">
      <c r="A45" s="9" t="s">
        <v>104</v>
      </c>
      <c r="B45" s="62" t="s">
        <v>59</v>
      </c>
      <c r="C45" s="18">
        <v>7953.3</v>
      </c>
      <c r="D45" s="19">
        <f>8380.5+E45+F45</f>
        <v>9815.6</v>
      </c>
      <c r="E45" s="102">
        <v>624</v>
      </c>
      <c r="F45" s="102">
        <f>200+G45+H45+I45+J45</f>
        <v>811.1</v>
      </c>
      <c r="G45" s="102">
        <v>136.6</v>
      </c>
      <c r="H45" s="102">
        <v>318.1</v>
      </c>
      <c r="I45" s="162">
        <v>0</v>
      </c>
      <c r="J45" s="175">
        <v>156.4</v>
      </c>
      <c r="K45" s="62" t="s">
        <v>59</v>
      </c>
      <c r="L45" s="37" t="s">
        <v>281</v>
      </c>
      <c r="M45" s="21" t="s">
        <v>306</v>
      </c>
      <c r="N45" s="22" t="s">
        <v>309</v>
      </c>
      <c r="O45" s="22" t="s">
        <v>174</v>
      </c>
      <c r="P45" s="86" t="s">
        <v>310</v>
      </c>
      <c r="Q45" s="32"/>
    </row>
    <row r="46" spans="1:17" s="8" customFormat="1" ht="51">
      <c r="A46" s="9" t="s">
        <v>105</v>
      </c>
      <c r="B46" s="10" t="s">
        <v>60</v>
      </c>
      <c r="C46" s="18">
        <f>3652.7+308.5</f>
        <v>3961.2</v>
      </c>
      <c r="D46" s="19">
        <f>1919.2+E46+F46</f>
        <v>2246.3</v>
      </c>
      <c r="E46" s="102">
        <v>245.1</v>
      </c>
      <c r="F46" s="102">
        <f>7.4+G46+H46+I46</f>
        <v>82</v>
      </c>
      <c r="G46" s="102">
        <v>26.1</v>
      </c>
      <c r="H46" s="102">
        <v>10</v>
      </c>
      <c r="I46" s="162">
        <v>38.5</v>
      </c>
      <c r="J46" s="175">
        <v>0</v>
      </c>
      <c r="K46" s="10" t="s">
        <v>60</v>
      </c>
      <c r="L46" s="37" t="s">
        <v>282</v>
      </c>
      <c r="M46" s="15">
        <v>249</v>
      </c>
      <c r="N46" s="22">
        <v>41502</v>
      </c>
      <c r="O46" s="21" t="s">
        <v>175</v>
      </c>
      <c r="P46" s="86"/>
      <c r="Q46" s="32"/>
    </row>
    <row r="47" spans="1:17" s="8" customFormat="1" ht="25.5">
      <c r="A47" s="389" t="s">
        <v>106</v>
      </c>
      <c r="B47" s="407" t="s">
        <v>61</v>
      </c>
      <c r="C47" s="357">
        <v>689.4</v>
      </c>
      <c r="D47" s="343">
        <v>707.6</v>
      </c>
      <c r="E47" s="343">
        <v>0</v>
      </c>
      <c r="F47" s="343">
        <v>0</v>
      </c>
      <c r="G47" s="343">
        <v>0</v>
      </c>
      <c r="H47" s="343">
        <v>0</v>
      </c>
      <c r="I47" s="343">
        <v>0</v>
      </c>
      <c r="J47" s="343">
        <v>0</v>
      </c>
      <c r="K47" s="361" t="s">
        <v>61</v>
      </c>
      <c r="L47" s="16" t="s">
        <v>178</v>
      </c>
      <c r="M47" s="21">
        <v>365</v>
      </c>
      <c r="N47" s="33">
        <v>42558</v>
      </c>
      <c r="O47" s="22" t="s">
        <v>176</v>
      </c>
      <c r="P47" s="88">
        <v>608.3</v>
      </c>
      <c r="Q47" s="32"/>
    </row>
    <row r="48" spans="1:17" s="8" customFormat="1" ht="23.25" customHeight="1">
      <c r="A48" s="390"/>
      <c r="B48" s="408"/>
      <c r="C48" s="409"/>
      <c r="D48" s="345"/>
      <c r="E48" s="345"/>
      <c r="F48" s="345"/>
      <c r="G48" s="345"/>
      <c r="H48" s="345"/>
      <c r="I48" s="345"/>
      <c r="J48" s="345"/>
      <c r="K48" s="362"/>
      <c r="L48" s="16" t="s">
        <v>179</v>
      </c>
      <c r="M48" s="21">
        <v>366</v>
      </c>
      <c r="N48" s="33">
        <v>42558</v>
      </c>
      <c r="O48" s="22" t="s">
        <v>176</v>
      </c>
      <c r="P48" s="88">
        <v>62.5</v>
      </c>
      <c r="Q48" s="32"/>
    </row>
    <row r="49" spans="1:17" s="8" customFormat="1" ht="25.5">
      <c r="A49" s="391"/>
      <c r="B49" s="367"/>
      <c r="C49" s="356"/>
      <c r="D49" s="344"/>
      <c r="E49" s="344"/>
      <c r="F49" s="344"/>
      <c r="G49" s="344"/>
      <c r="H49" s="344"/>
      <c r="I49" s="344"/>
      <c r="J49" s="344"/>
      <c r="K49" s="362"/>
      <c r="L49" s="16" t="s">
        <v>180</v>
      </c>
      <c r="M49" s="21">
        <v>415</v>
      </c>
      <c r="N49" s="33">
        <v>42583</v>
      </c>
      <c r="O49" s="22" t="s">
        <v>177</v>
      </c>
      <c r="P49" s="88">
        <v>245.1</v>
      </c>
      <c r="Q49" s="32"/>
    </row>
    <row r="50" spans="1:17" s="8" customFormat="1" ht="39" customHeight="1">
      <c r="A50" s="389" t="s">
        <v>107</v>
      </c>
      <c r="B50" s="407" t="s">
        <v>62</v>
      </c>
      <c r="C50" s="357">
        <v>900.6</v>
      </c>
      <c r="D50" s="343">
        <v>941.4</v>
      </c>
      <c r="E50" s="343">
        <v>0</v>
      </c>
      <c r="F50" s="343">
        <v>0</v>
      </c>
      <c r="G50" s="343">
        <v>0</v>
      </c>
      <c r="H50" s="343">
        <v>0</v>
      </c>
      <c r="I50" s="343">
        <v>0</v>
      </c>
      <c r="J50" s="343">
        <v>0</v>
      </c>
      <c r="K50" s="361" t="s">
        <v>62</v>
      </c>
      <c r="L50" s="16" t="s">
        <v>178</v>
      </c>
      <c r="M50" s="21" t="s">
        <v>182</v>
      </c>
      <c r="N50" s="33">
        <v>42548</v>
      </c>
      <c r="O50" s="22" t="s">
        <v>183</v>
      </c>
      <c r="P50" s="88">
        <v>799.7</v>
      </c>
      <c r="Q50" s="32"/>
    </row>
    <row r="51" spans="1:17" s="8" customFormat="1" ht="24.75" customHeight="1">
      <c r="A51" s="391"/>
      <c r="B51" s="367"/>
      <c r="C51" s="356"/>
      <c r="D51" s="344"/>
      <c r="E51" s="344"/>
      <c r="F51" s="344"/>
      <c r="G51" s="344"/>
      <c r="H51" s="344"/>
      <c r="I51" s="344"/>
      <c r="J51" s="344"/>
      <c r="K51" s="362"/>
      <c r="L51" s="16" t="s">
        <v>181</v>
      </c>
      <c r="M51" s="21">
        <v>450</v>
      </c>
      <c r="N51" s="33">
        <v>42600</v>
      </c>
      <c r="O51" s="33">
        <v>42965</v>
      </c>
      <c r="P51" s="88">
        <v>256.6</v>
      </c>
      <c r="Q51" s="32"/>
    </row>
    <row r="52" spans="1:17" s="8" customFormat="1" ht="25.5">
      <c r="A52" s="389" t="s">
        <v>108</v>
      </c>
      <c r="B52" s="407" t="s">
        <v>63</v>
      </c>
      <c r="C52" s="357">
        <v>3381.6</v>
      </c>
      <c r="D52" s="343">
        <f>2390.6+E52</f>
        <v>2667.5</v>
      </c>
      <c r="E52" s="343">
        <v>276.9</v>
      </c>
      <c r="F52" s="343">
        <f>82+H52+I52</f>
        <v>225.7</v>
      </c>
      <c r="G52" s="343">
        <v>0</v>
      </c>
      <c r="H52" s="343">
        <v>100.9</v>
      </c>
      <c r="I52" s="343">
        <v>42.8</v>
      </c>
      <c r="J52" s="343">
        <v>0</v>
      </c>
      <c r="K52" s="361" t="s">
        <v>63</v>
      </c>
      <c r="L52" s="16" t="s">
        <v>184</v>
      </c>
      <c r="M52" s="21">
        <v>83</v>
      </c>
      <c r="N52" s="22">
        <v>42796</v>
      </c>
      <c r="O52" s="22">
        <v>43100</v>
      </c>
      <c r="P52" s="88" t="s">
        <v>186</v>
      </c>
      <c r="Q52" s="32"/>
    </row>
    <row r="53" spans="1:17" s="8" customFormat="1" ht="15">
      <c r="A53" s="391"/>
      <c r="B53" s="367"/>
      <c r="C53" s="356"/>
      <c r="D53" s="344"/>
      <c r="E53" s="344"/>
      <c r="F53" s="344"/>
      <c r="G53" s="344"/>
      <c r="H53" s="344"/>
      <c r="I53" s="344"/>
      <c r="J53" s="344"/>
      <c r="K53" s="362"/>
      <c r="L53" s="16" t="s">
        <v>185</v>
      </c>
      <c r="M53" s="21">
        <v>84</v>
      </c>
      <c r="N53" s="22">
        <v>42796</v>
      </c>
      <c r="O53" s="22">
        <v>43100</v>
      </c>
      <c r="P53" s="88" t="s">
        <v>187</v>
      </c>
      <c r="Q53" s="32"/>
    </row>
    <row r="54" spans="1:17" s="8" customFormat="1" ht="30.75" customHeight="1">
      <c r="A54" s="9" t="s">
        <v>109</v>
      </c>
      <c r="B54" s="62" t="s">
        <v>64</v>
      </c>
      <c r="C54" s="18">
        <v>3168</v>
      </c>
      <c r="D54" s="19">
        <f>1173.3+E54+F54</f>
        <v>1399.52</v>
      </c>
      <c r="E54" s="102">
        <v>113.12</v>
      </c>
      <c r="F54" s="102">
        <f>G54+H54</f>
        <v>113.1</v>
      </c>
      <c r="G54" s="102">
        <v>27.3</v>
      </c>
      <c r="H54" s="102">
        <v>85.8</v>
      </c>
      <c r="I54" s="162">
        <v>0</v>
      </c>
      <c r="J54" s="175">
        <v>0</v>
      </c>
      <c r="K54" s="62" t="s">
        <v>64</v>
      </c>
      <c r="L54" s="16" t="s">
        <v>188</v>
      </c>
      <c r="M54" s="21">
        <v>13</v>
      </c>
      <c r="N54" s="22">
        <v>42740</v>
      </c>
      <c r="O54" s="22">
        <v>43100</v>
      </c>
      <c r="P54" s="88" t="s">
        <v>189</v>
      </c>
      <c r="Q54" s="32"/>
    </row>
    <row r="55" spans="1:17" s="8" customFormat="1" ht="24.75" customHeight="1">
      <c r="A55" s="9" t="s">
        <v>110</v>
      </c>
      <c r="B55" s="62" t="s">
        <v>152</v>
      </c>
      <c r="C55" s="18">
        <v>4032</v>
      </c>
      <c r="D55" s="19">
        <f>4558.2+E55+F55</f>
        <v>5441.81</v>
      </c>
      <c r="E55" s="102">
        <v>451.81</v>
      </c>
      <c r="F55" s="102">
        <f>I55</f>
        <v>431.8</v>
      </c>
      <c r="G55" s="102">
        <v>0</v>
      </c>
      <c r="H55" s="102">
        <v>0</v>
      </c>
      <c r="I55" s="162">
        <v>431.8</v>
      </c>
      <c r="J55" s="175">
        <v>0</v>
      </c>
      <c r="K55" s="62" t="s">
        <v>152</v>
      </c>
      <c r="L55" s="16" t="s">
        <v>190</v>
      </c>
      <c r="M55" s="21">
        <v>111</v>
      </c>
      <c r="N55" s="22">
        <v>42086</v>
      </c>
      <c r="O55" s="31"/>
      <c r="P55" s="88">
        <v>7534.1</v>
      </c>
      <c r="Q55" s="32"/>
    </row>
    <row r="56" spans="1:17" s="8" customFormat="1" ht="25.5" customHeight="1">
      <c r="A56" s="9" t="s">
        <v>111</v>
      </c>
      <c r="B56" s="62" t="s">
        <v>153</v>
      </c>
      <c r="C56" s="18">
        <v>6952.5</v>
      </c>
      <c r="D56" s="19">
        <f>3641+E56</f>
        <v>4925</v>
      </c>
      <c r="E56" s="102">
        <v>1284</v>
      </c>
      <c r="F56" s="102">
        <v>0</v>
      </c>
      <c r="G56" s="102">
        <v>0</v>
      </c>
      <c r="H56" s="102">
        <v>0</v>
      </c>
      <c r="I56" s="162">
        <v>0</v>
      </c>
      <c r="J56" s="175">
        <v>0</v>
      </c>
      <c r="K56" s="62" t="s">
        <v>153</v>
      </c>
      <c r="L56" s="16" t="s">
        <v>191</v>
      </c>
      <c r="M56" s="21">
        <v>344</v>
      </c>
      <c r="N56" s="22">
        <v>42979</v>
      </c>
      <c r="O56" s="31"/>
      <c r="P56" s="88" t="s">
        <v>192</v>
      </c>
      <c r="Q56" s="32"/>
    </row>
    <row r="57" spans="1:17" s="8" customFormat="1" ht="25.5">
      <c r="A57" s="9" t="s">
        <v>112</v>
      </c>
      <c r="B57" s="63" t="s">
        <v>65</v>
      </c>
      <c r="C57" s="18"/>
      <c r="D57" s="19">
        <f>1101.8+E57</f>
        <v>1501.8</v>
      </c>
      <c r="E57" s="102">
        <v>400</v>
      </c>
      <c r="F57" s="102">
        <v>0</v>
      </c>
      <c r="G57" s="102">
        <v>0</v>
      </c>
      <c r="H57" s="102">
        <v>0</v>
      </c>
      <c r="I57" s="162">
        <v>0</v>
      </c>
      <c r="J57" s="175"/>
      <c r="K57" s="63" t="s">
        <v>65</v>
      </c>
      <c r="L57" s="37" t="s">
        <v>268</v>
      </c>
      <c r="M57" s="31" t="s">
        <v>267</v>
      </c>
      <c r="N57" s="42">
        <v>42825</v>
      </c>
      <c r="O57" s="31"/>
      <c r="P57" s="86">
        <v>8839.7</v>
      </c>
      <c r="Q57" s="32"/>
    </row>
    <row r="58" spans="1:17" s="8" customFormat="1" ht="31.5" customHeight="1">
      <c r="A58" s="9" t="s">
        <v>113</v>
      </c>
      <c r="B58" s="11" t="s">
        <v>67</v>
      </c>
      <c r="C58" s="18">
        <v>1020</v>
      </c>
      <c r="D58" s="19">
        <f>298.3+E58+F58</f>
        <v>398.3</v>
      </c>
      <c r="E58" s="102">
        <v>31</v>
      </c>
      <c r="F58" s="102">
        <f>J58</f>
        <v>69</v>
      </c>
      <c r="G58" s="102">
        <v>0</v>
      </c>
      <c r="H58" s="102">
        <v>0</v>
      </c>
      <c r="I58" s="162">
        <v>0</v>
      </c>
      <c r="J58" s="175">
        <v>69</v>
      </c>
      <c r="K58" s="11" t="s">
        <v>67</v>
      </c>
      <c r="L58" s="16" t="s">
        <v>196</v>
      </c>
      <c r="M58" s="21">
        <v>110</v>
      </c>
      <c r="N58" s="22">
        <v>42086</v>
      </c>
      <c r="O58" s="31"/>
      <c r="P58" s="88" t="s">
        <v>195</v>
      </c>
      <c r="Q58" s="32"/>
    </row>
    <row r="59" spans="1:17" s="8" customFormat="1" ht="25.5">
      <c r="A59" s="9" t="s">
        <v>114</v>
      </c>
      <c r="B59" s="11" t="s">
        <v>68</v>
      </c>
      <c r="C59" s="18">
        <v>174</v>
      </c>
      <c r="D59" s="19">
        <f>48.8+E59+F59</f>
        <v>1820.1</v>
      </c>
      <c r="E59" s="102">
        <v>758.8</v>
      </c>
      <c r="F59" s="102">
        <f>6.8+I59+J59</f>
        <v>1012.5</v>
      </c>
      <c r="G59" s="102">
        <v>0</v>
      </c>
      <c r="H59" s="102">
        <v>0</v>
      </c>
      <c r="I59" s="162">
        <v>500</v>
      </c>
      <c r="J59" s="175">
        <v>505.7</v>
      </c>
      <c r="K59" s="11" t="s">
        <v>68</v>
      </c>
      <c r="L59" s="16" t="s">
        <v>197</v>
      </c>
      <c r="M59" s="21">
        <v>368</v>
      </c>
      <c r="N59" s="33">
        <v>42558</v>
      </c>
      <c r="O59" s="22" t="s">
        <v>176</v>
      </c>
      <c r="P59" s="88">
        <v>3332.9</v>
      </c>
      <c r="Q59" s="32"/>
    </row>
    <row r="60" spans="1:17" s="8" customFormat="1" ht="24.75" customHeight="1">
      <c r="A60" s="9" t="s">
        <v>115</v>
      </c>
      <c r="B60" s="11" t="s">
        <v>69</v>
      </c>
      <c r="C60" s="18">
        <v>149.4</v>
      </c>
      <c r="D60" s="19">
        <f>1066.6+F60</f>
        <v>1139.3</v>
      </c>
      <c r="E60" s="102">
        <v>0</v>
      </c>
      <c r="F60" s="102">
        <f>H60</f>
        <v>72.7</v>
      </c>
      <c r="G60" s="102">
        <v>0</v>
      </c>
      <c r="H60" s="102">
        <v>72.7</v>
      </c>
      <c r="I60" s="162">
        <v>0</v>
      </c>
      <c r="J60" s="175"/>
      <c r="K60" s="11" t="s">
        <v>69</v>
      </c>
      <c r="L60" s="16" t="s">
        <v>198</v>
      </c>
      <c r="M60" s="21">
        <v>19</v>
      </c>
      <c r="N60" s="22">
        <v>42747</v>
      </c>
      <c r="O60" s="22">
        <v>43100</v>
      </c>
      <c r="P60" s="88" t="s">
        <v>199</v>
      </c>
      <c r="Q60" s="32"/>
    </row>
    <row r="61" spans="1:17" s="8" customFormat="1" ht="25.5">
      <c r="A61" s="9" t="s">
        <v>116</v>
      </c>
      <c r="B61" s="11" t="s">
        <v>70</v>
      </c>
      <c r="C61" s="18">
        <v>550</v>
      </c>
      <c r="D61" s="19">
        <f>68.6+E61+F61</f>
        <v>252.10000000000002</v>
      </c>
      <c r="E61" s="102">
        <v>62.7</v>
      </c>
      <c r="F61" s="102">
        <f>J61</f>
        <v>120.8</v>
      </c>
      <c r="G61" s="102">
        <v>0</v>
      </c>
      <c r="H61" s="102">
        <v>0</v>
      </c>
      <c r="I61" s="162">
        <v>0</v>
      </c>
      <c r="J61" s="175">
        <v>120.8</v>
      </c>
      <c r="K61" s="11" t="s">
        <v>70</v>
      </c>
      <c r="L61" s="16" t="s">
        <v>200</v>
      </c>
      <c r="M61" s="21">
        <v>220</v>
      </c>
      <c r="N61" s="22">
        <v>42907</v>
      </c>
      <c r="O61" s="64">
        <v>43100</v>
      </c>
      <c r="P61" s="88">
        <v>171.4</v>
      </c>
      <c r="Q61" s="32"/>
    </row>
    <row r="62" spans="1:17" s="8" customFormat="1" ht="38.25">
      <c r="A62" s="9" t="s">
        <v>117</v>
      </c>
      <c r="B62" s="11" t="s">
        <v>71</v>
      </c>
      <c r="C62" s="18">
        <v>91</v>
      </c>
      <c r="D62" s="19">
        <v>90.6</v>
      </c>
      <c r="E62" s="102">
        <v>0</v>
      </c>
      <c r="F62" s="102">
        <v>0</v>
      </c>
      <c r="G62" s="102">
        <v>0</v>
      </c>
      <c r="H62" s="102">
        <v>0</v>
      </c>
      <c r="I62" s="162">
        <v>0</v>
      </c>
      <c r="J62" s="175"/>
      <c r="K62" s="11" t="s">
        <v>71</v>
      </c>
      <c r="L62" s="37" t="s">
        <v>202</v>
      </c>
      <c r="M62" s="21">
        <v>310</v>
      </c>
      <c r="N62" s="33">
        <v>42545</v>
      </c>
      <c r="O62" s="22" t="s">
        <v>201</v>
      </c>
      <c r="P62" s="88">
        <v>217.1</v>
      </c>
      <c r="Q62" s="32"/>
    </row>
    <row r="63" spans="1:17" s="8" customFormat="1" ht="33.75">
      <c r="A63" s="9" t="s">
        <v>118</v>
      </c>
      <c r="B63" s="11" t="s">
        <v>72</v>
      </c>
      <c r="C63" s="18">
        <v>148.1</v>
      </c>
      <c r="D63" s="19">
        <v>206.3</v>
      </c>
      <c r="E63" s="102">
        <v>0</v>
      </c>
      <c r="F63" s="102">
        <v>0</v>
      </c>
      <c r="G63" s="102">
        <v>0</v>
      </c>
      <c r="H63" s="102">
        <v>0</v>
      </c>
      <c r="I63" s="162">
        <v>0</v>
      </c>
      <c r="J63" s="175"/>
      <c r="K63" s="11" t="s">
        <v>72</v>
      </c>
      <c r="L63" s="16" t="s">
        <v>204</v>
      </c>
      <c r="M63" s="21">
        <v>653</v>
      </c>
      <c r="N63" s="22">
        <v>42702</v>
      </c>
      <c r="O63" s="65" t="s">
        <v>203</v>
      </c>
      <c r="P63" s="88">
        <v>148.1</v>
      </c>
      <c r="Q63" s="32"/>
    </row>
    <row r="64" spans="1:17" s="8" customFormat="1" ht="27" customHeight="1">
      <c r="A64" s="9" t="s">
        <v>119</v>
      </c>
      <c r="B64" s="11" t="s">
        <v>73</v>
      </c>
      <c r="C64" s="18">
        <v>467.7</v>
      </c>
      <c r="D64" s="19">
        <f>510.5+E64+F64</f>
        <v>652.6999999999999</v>
      </c>
      <c r="E64" s="102">
        <v>128.9</v>
      </c>
      <c r="F64" s="102">
        <f>9+H64</f>
        <v>13.3</v>
      </c>
      <c r="G64" s="102">
        <v>0</v>
      </c>
      <c r="H64" s="102">
        <v>4.3</v>
      </c>
      <c r="I64" s="162">
        <v>0</v>
      </c>
      <c r="J64" s="175"/>
      <c r="K64" s="11" t="s">
        <v>73</v>
      </c>
      <c r="L64" s="37"/>
      <c r="M64" s="31" t="s">
        <v>205</v>
      </c>
      <c r="N64" s="31"/>
      <c r="O64" s="31"/>
      <c r="P64" s="86"/>
      <c r="Q64" s="32"/>
    </row>
    <row r="65" spans="1:17" s="8" customFormat="1" ht="31.5" customHeight="1">
      <c r="A65" s="57" t="s">
        <v>284</v>
      </c>
      <c r="B65" s="62" t="s">
        <v>154</v>
      </c>
      <c r="C65" s="18">
        <v>2000</v>
      </c>
      <c r="D65" s="19">
        <f>1454.1+E65</f>
        <v>1784.1</v>
      </c>
      <c r="E65" s="102">
        <v>330</v>
      </c>
      <c r="F65" s="102">
        <v>0</v>
      </c>
      <c r="G65" s="102">
        <v>0</v>
      </c>
      <c r="H65" s="102">
        <v>0</v>
      </c>
      <c r="I65" s="162">
        <v>0</v>
      </c>
      <c r="J65" s="175"/>
      <c r="K65" s="62" t="s">
        <v>154</v>
      </c>
      <c r="L65" s="37"/>
      <c r="M65" s="31" t="s">
        <v>205</v>
      </c>
      <c r="N65" s="31"/>
      <c r="O65" s="31"/>
      <c r="P65" s="86"/>
      <c r="Q65" s="32"/>
    </row>
    <row r="66" spans="1:17" s="8" customFormat="1" ht="56.25">
      <c r="A66" s="57" t="s">
        <v>285</v>
      </c>
      <c r="B66" s="62" t="s">
        <v>293</v>
      </c>
      <c r="C66" s="18">
        <v>2000</v>
      </c>
      <c r="D66" s="19">
        <f>1681.4+F66</f>
        <v>2442.5</v>
      </c>
      <c r="E66" s="102"/>
      <c r="F66" s="102">
        <f>I66</f>
        <v>761.1</v>
      </c>
      <c r="G66" s="102">
        <v>0</v>
      </c>
      <c r="H66" s="102">
        <v>0</v>
      </c>
      <c r="I66" s="162">
        <v>761.1</v>
      </c>
      <c r="J66" s="175"/>
      <c r="K66" s="62" t="s">
        <v>293</v>
      </c>
      <c r="L66" s="79" t="s">
        <v>294</v>
      </c>
      <c r="M66" s="80" t="s">
        <v>295</v>
      </c>
      <c r="N66" s="81">
        <v>42513</v>
      </c>
      <c r="O66" s="82" t="s">
        <v>296</v>
      </c>
      <c r="P66" s="86" t="s">
        <v>297</v>
      </c>
      <c r="Q66" s="38"/>
    </row>
    <row r="67" spans="1:17" s="8" customFormat="1" ht="21.75" customHeight="1">
      <c r="A67" s="57"/>
      <c r="B67" s="117" t="s">
        <v>302</v>
      </c>
      <c r="C67" s="100">
        <v>0</v>
      </c>
      <c r="D67" s="110">
        <v>2460.7</v>
      </c>
      <c r="E67" s="110">
        <v>2460.7</v>
      </c>
      <c r="F67" s="102">
        <v>0</v>
      </c>
      <c r="G67" s="102">
        <v>0</v>
      </c>
      <c r="H67" s="102">
        <v>0</v>
      </c>
      <c r="I67" s="160">
        <v>0</v>
      </c>
      <c r="J67" s="169"/>
      <c r="K67" s="117" t="s">
        <v>302</v>
      </c>
      <c r="L67" s="116" t="s">
        <v>303</v>
      </c>
      <c r="M67" s="101">
        <v>478</v>
      </c>
      <c r="N67" s="118">
        <v>43040</v>
      </c>
      <c r="O67" s="101"/>
      <c r="P67" s="107" t="s">
        <v>304</v>
      </c>
      <c r="Q67" s="106"/>
    </row>
    <row r="68" spans="1:17" s="8" customFormat="1" ht="30.75" customHeight="1" thickBot="1">
      <c r="A68" s="119" t="s">
        <v>292</v>
      </c>
      <c r="B68" s="120" t="s">
        <v>74</v>
      </c>
      <c r="C68" s="112">
        <v>7804.4</v>
      </c>
      <c r="D68" s="113">
        <f>4865.5+E68+F68</f>
        <v>5962.400000000001</v>
      </c>
      <c r="E68" s="113">
        <v>186.6</v>
      </c>
      <c r="F68" s="113">
        <f>270.7+G68+H68+I68+J68</f>
        <v>910.2999999999998</v>
      </c>
      <c r="G68" s="113">
        <v>79.1</v>
      </c>
      <c r="H68" s="113">
        <v>442.3</v>
      </c>
      <c r="I68" s="161">
        <v>62.3</v>
      </c>
      <c r="J68" s="171">
        <v>55.9</v>
      </c>
      <c r="K68" s="120" t="s">
        <v>74</v>
      </c>
      <c r="L68" s="121" t="s">
        <v>298</v>
      </c>
      <c r="M68" s="111"/>
      <c r="N68" s="111"/>
      <c r="O68" s="111"/>
      <c r="P68" s="114"/>
      <c r="Q68" s="32"/>
    </row>
    <row r="69" spans="1:17" s="78" customFormat="1" ht="33.75" customHeight="1" thickBot="1">
      <c r="A69" s="125" t="s">
        <v>120</v>
      </c>
      <c r="B69" s="126" t="s">
        <v>75</v>
      </c>
      <c r="C69" s="124">
        <f aca="true" t="shared" si="3" ref="C69:J69">C71+C73+C74+C75+C77+C78+C79+C82+C83+C84+C85+C86+C87+C88+C89+C90+C92+C94+C95+C97+C98+C99+C100+C101</f>
        <v>55314.5</v>
      </c>
      <c r="D69" s="124">
        <f t="shared" si="3"/>
        <v>47583.5</v>
      </c>
      <c r="E69" s="124">
        <f t="shared" si="3"/>
        <v>3015.8999999999996</v>
      </c>
      <c r="F69" s="124">
        <f t="shared" si="3"/>
        <v>6090.4</v>
      </c>
      <c r="G69" s="124">
        <f t="shared" si="3"/>
        <v>1159.4</v>
      </c>
      <c r="H69" s="124">
        <f t="shared" si="3"/>
        <v>1300.6</v>
      </c>
      <c r="I69" s="124">
        <f t="shared" si="3"/>
        <v>1848</v>
      </c>
      <c r="J69" s="124">
        <f t="shared" si="3"/>
        <v>1445.7000000000003</v>
      </c>
      <c r="K69" s="126" t="s">
        <v>75</v>
      </c>
      <c r="L69" s="127"/>
      <c r="M69" s="128"/>
      <c r="N69" s="128"/>
      <c r="O69" s="128"/>
      <c r="P69" s="129"/>
      <c r="Q69" s="77"/>
    </row>
    <row r="70" spans="1:17" s="8" customFormat="1" ht="15">
      <c r="A70" s="122"/>
      <c r="B70" s="123" t="s">
        <v>9</v>
      </c>
      <c r="C70" s="108"/>
      <c r="D70" s="110"/>
      <c r="E70" s="110"/>
      <c r="F70" s="110"/>
      <c r="G70" s="110"/>
      <c r="H70" s="110"/>
      <c r="I70" s="160"/>
      <c r="J70" s="169"/>
      <c r="K70" s="123" t="s">
        <v>9</v>
      </c>
      <c r="L70" s="116"/>
      <c r="M70" s="101"/>
      <c r="N70" s="101"/>
      <c r="O70" s="101"/>
      <c r="P70" s="107"/>
      <c r="Q70" s="32"/>
    </row>
    <row r="71" spans="1:17" s="8" customFormat="1" ht="25.5">
      <c r="A71" s="389" t="s">
        <v>121</v>
      </c>
      <c r="B71" s="411" t="s">
        <v>76</v>
      </c>
      <c r="C71" s="357">
        <v>12700</v>
      </c>
      <c r="D71" s="343">
        <f>3194.3+E71</f>
        <v>3364.7000000000003</v>
      </c>
      <c r="E71" s="343">
        <v>170.4</v>
      </c>
      <c r="F71" s="343">
        <v>0</v>
      </c>
      <c r="G71" s="343">
        <v>0</v>
      </c>
      <c r="H71" s="343">
        <v>0</v>
      </c>
      <c r="I71" s="343">
        <v>0</v>
      </c>
      <c r="J71" s="343">
        <v>0</v>
      </c>
      <c r="K71" s="363" t="s">
        <v>76</v>
      </c>
      <c r="L71" s="16" t="s">
        <v>206</v>
      </c>
      <c r="M71" s="21">
        <v>3</v>
      </c>
      <c r="N71" s="22">
        <v>42380</v>
      </c>
      <c r="O71" s="22">
        <v>43120</v>
      </c>
      <c r="P71" s="86"/>
      <c r="Q71" s="32"/>
    </row>
    <row r="72" spans="1:17" s="8" customFormat="1" ht="15">
      <c r="A72" s="391"/>
      <c r="B72" s="356"/>
      <c r="C72" s="356"/>
      <c r="D72" s="344"/>
      <c r="E72" s="344"/>
      <c r="F72" s="344"/>
      <c r="G72" s="344"/>
      <c r="H72" s="344"/>
      <c r="I72" s="344"/>
      <c r="J72" s="344"/>
      <c r="K72" s="362"/>
      <c r="L72" s="16" t="s">
        <v>207</v>
      </c>
      <c r="M72" s="21">
        <v>700</v>
      </c>
      <c r="N72" s="22">
        <v>42731</v>
      </c>
      <c r="O72" s="22">
        <v>43461</v>
      </c>
      <c r="P72" s="86"/>
      <c r="Q72" s="32"/>
    </row>
    <row r="73" spans="1:17" s="8" customFormat="1" ht="25.5">
      <c r="A73" s="9" t="s">
        <v>122</v>
      </c>
      <c r="B73" s="10" t="s">
        <v>66</v>
      </c>
      <c r="C73" s="18">
        <v>5800</v>
      </c>
      <c r="D73" s="19">
        <f>5880+E73+F73</f>
        <v>7621.6</v>
      </c>
      <c r="E73" s="102">
        <v>200</v>
      </c>
      <c r="F73" s="102">
        <f>H73+I73+J73</f>
        <v>1541.6</v>
      </c>
      <c r="G73" s="102">
        <v>0</v>
      </c>
      <c r="H73" s="102">
        <v>1000</v>
      </c>
      <c r="I73" s="162">
        <v>250</v>
      </c>
      <c r="J73" s="175">
        <v>291.6</v>
      </c>
      <c r="K73" s="10" t="s">
        <v>66</v>
      </c>
      <c r="L73" s="16" t="s">
        <v>194</v>
      </c>
      <c r="M73" s="21">
        <v>133</v>
      </c>
      <c r="N73" s="22">
        <v>42838</v>
      </c>
      <c r="O73" s="22">
        <v>43191</v>
      </c>
      <c r="P73" s="89">
        <v>9389.6</v>
      </c>
      <c r="Q73" s="32"/>
    </row>
    <row r="74" spans="1:17" s="8" customFormat="1" ht="51">
      <c r="A74" s="9" t="s">
        <v>123</v>
      </c>
      <c r="B74" s="10" t="s">
        <v>77</v>
      </c>
      <c r="C74" s="18">
        <v>519</v>
      </c>
      <c r="D74" s="19">
        <v>542.2</v>
      </c>
      <c r="E74" s="102">
        <v>0</v>
      </c>
      <c r="F74" s="102">
        <v>0</v>
      </c>
      <c r="G74" s="102">
        <v>0</v>
      </c>
      <c r="H74" s="102">
        <v>0</v>
      </c>
      <c r="I74" s="162">
        <v>0</v>
      </c>
      <c r="J74" s="175">
        <v>0</v>
      </c>
      <c r="K74" s="10" t="s">
        <v>77</v>
      </c>
      <c r="L74" s="16" t="s">
        <v>209</v>
      </c>
      <c r="M74" s="21">
        <v>470</v>
      </c>
      <c r="N74" s="33">
        <v>42618</v>
      </c>
      <c r="O74" s="33" t="s">
        <v>208</v>
      </c>
      <c r="P74" s="89">
        <v>1020.9</v>
      </c>
      <c r="Q74" s="32"/>
    </row>
    <row r="75" spans="1:17" s="8" customFormat="1" ht="51">
      <c r="A75" s="389" t="s">
        <v>124</v>
      </c>
      <c r="B75" s="411" t="s">
        <v>78</v>
      </c>
      <c r="C75" s="357">
        <v>5880</v>
      </c>
      <c r="D75" s="343">
        <v>2200.9</v>
      </c>
      <c r="E75" s="343">
        <v>0</v>
      </c>
      <c r="F75" s="343">
        <v>0</v>
      </c>
      <c r="G75" s="343">
        <v>0</v>
      </c>
      <c r="H75" s="343">
        <v>0</v>
      </c>
      <c r="I75" s="343">
        <v>0</v>
      </c>
      <c r="J75" s="170">
        <v>0</v>
      </c>
      <c r="K75" s="374" t="s">
        <v>78</v>
      </c>
      <c r="L75" s="16" t="s">
        <v>211</v>
      </c>
      <c r="M75" s="21">
        <v>154</v>
      </c>
      <c r="N75" s="22">
        <v>42493</v>
      </c>
      <c r="O75" s="22" t="s">
        <v>210</v>
      </c>
      <c r="P75" s="89">
        <v>643.3</v>
      </c>
      <c r="Q75" s="32"/>
    </row>
    <row r="76" spans="1:17" s="8" customFormat="1" ht="15">
      <c r="A76" s="391"/>
      <c r="B76" s="356"/>
      <c r="C76" s="356"/>
      <c r="D76" s="344"/>
      <c r="E76" s="344"/>
      <c r="F76" s="344"/>
      <c r="G76" s="344"/>
      <c r="H76" s="344"/>
      <c r="I76" s="344"/>
      <c r="J76" s="169"/>
      <c r="K76" s="375"/>
      <c r="L76" s="16" t="s">
        <v>212</v>
      </c>
      <c r="M76" s="21">
        <v>10</v>
      </c>
      <c r="N76" s="22">
        <v>42739</v>
      </c>
      <c r="O76" s="31"/>
      <c r="P76" s="89">
        <v>2394</v>
      </c>
      <c r="Q76" s="32"/>
    </row>
    <row r="77" spans="1:17" s="8" customFormat="1" ht="30" customHeight="1">
      <c r="A77" s="9" t="s">
        <v>125</v>
      </c>
      <c r="B77" s="10" t="s">
        <v>79</v>
      </c>
      <c r="C77" s="18">
        <v>400</v>
      </c>
      <c r="D77" s="19">
        <f>537.1+E77</f>
        <v>550.2</v>
      </c>
      <c r="E77" s="102">
        <v>13.1</v>
      </c>
      <c r="F77" s="102">
        <v>0</v>
      </c>
      <c r="G77" s="102">
        <v>0</v>
      </c>
      <c r="H77" s="102">
        <v>0</v>
      </c>
      <c r="I77" s="162">
        <v>0</v>
      </c>
      <c r="J77" s="175">
        <v>0</v>
      </c>
      <c r="K77" s="10" t="s">
        <v>79</v>
      </c>
      <c r="L77" s="16" t="s">
        <v>212</v>
      </c>
      <c r="M77" s="21">
        <v>159</v>
      </c>
      <c r="N77" s="22">
        <v>42858</v>
      </c>
      <c r="O77" s="22">
        <v>43588</v>
      </c>
      <c r="P77" s="89">
        <v>1000</v>
      </c>
      <c r="Q77" s="32"/>
    </row>
    <row r="78" spans="1:17" s="8" customFormat="1" ht="51">
      <c r="A78" s="9" t="s">
        <v>126</v>
      </c>
      <c r="B78" s="10" t="s">
        <v>80</v>
      </c>
      <c r="C78" s="18">
        <v>616.9</v>
      </c>
      <c r="D78" s="19">
        <v>617</v>
      </c>
      <c r="E78" s="102">
        <v>0</v>
      </c>
      <c r="F78" s="102">
        <v>0</v>
      </c>
      <c r="G78" s="102">
        <v>0</v>
      </c>
      <c r="H78" s="102">
        <v>0</v>
      </c>
      <c r="I78" s="162">
        <v>0</v>
      </c>
      <c r="J78" s="175">
        <v>0</v>
      </c>
      <c r="K78" s="10" t="s">
        <v>80</v>
      </c>
      <c r="L78" s="16" t="s">
        <v>212</v>
      </c>
      <c r="M78" s="21" t="s">
        <v>213</v>
      </c>
      <c r="N78" s="22">
        <v>41922</v>
      </c>
      <c r="O78" s="21" t="s">
        <v>214</v>
      </c>
      <c r="P78" s="86"/>
      <c r="Q78" s="32"/>
    </row>
    <row r="79" spans="1:17" s="8" customFormat="1" ht="15">
      <c r="A79" s="389" t="s">
        <v>127</v>
      </c>
      <c r="B79" s="411" t="s">
        <v>81</v>
      </c>
      <c r="C79" s="357">
        <v>800</v>
      </c>
      <c r="D79" s="343">
        <f>810.5+E79</f>
        <v>829.8</v>
      </c>
      <c r="E79" s="343">
        <v>19.3</v>
      </c>
      <c r="F79" s="343">
        <v>0</v>
      </c>
      <c r="G79" s="343">
        <v>0</v>
      </c>
      <c r="H79" s="343">
        <v>0</v>
      </c>
      <c r="I79" s="343">
        <v>0</v>
      </c>
      <c r="J79" s="170">
        <v>0</v>
      </c>
      <c r="K79" s="374" t="s">
        <v>81</v>
      </c>
      <c r="L79" s="16" t="s">
        <v>212</v>
      </c>
      <c r="M79" s="21">
        <v>79</v>
      </c>
      <c r="N79" s="22">
        <v>42794</v>
      </c>
      <c r="O79" s="22">
        <v>43524</v>
      </c>
      <c r="P79" s="90">
        <v>500</v>
      </c>
      <c r="Q79" s="32"/>
    </row>
    <row r="80" spans="1:17" s="8" customFormat="1" ht="15">
      <c r="A80" s="390"/>
      <c r="B80" s="409"/>
      <c r="C80" s="409"/>
      <c r="D80" s="345"/>
      <c r="E80" s="345"/>
      <c r="F80" s="345"/>
      <c r="G80" s="345"/>
      <c r="H80" s="345"/>
      <c r="I80" s="345"/>
      <c r="J80" s="171"/>
      <c r="K80" s="375"/>
      <c r="L80" s="16" t="s">
        <v>215</v>
      </c>
      <c r="M80" s="21">
        <v>398</v>
      </c>
      <c r="N80" s="22">
        <v>43006</v>
      </c>
      <c r="O80" s="22">
        <v>43006</v>
      </c>
      <c r="P80" s="90">
        <v>87.2</v>
      </c>
      <c r="Q80" s="32"/>
    </row>
    <row r="81" spans="1:17" s="8" customFormat="1" ht="15">
      <c r="A81" s="391"/>
      <c r="B81" s="356"/>
      <c r="C81" s="356"/>
      <c r="D81" s="344"/>
      <c r="E81" s="344"/>
      <c r="F81" s="344"/>
      <c r="G81" s="344"/>
      <c r="H81" s="344"/>
      <c r="I81" s="344"/>
      <c r="J81" s="169"/>
      <c r="K81" s="375"/>
      <c r="L81" s="16" t="s">
        <v>216</v>
      </c>
      <c r="M81" s="21">
        <v>303</v>
      </c>
      <c r="N81" s="22">
        <v>42958</v>
      </c>
      <c r="O81" s="22">
        <v>43323</v>
      </c>
      <c r="P81" s="90">
        <v>290</v>
      </c>
      <c r="Q81" s="32"/>
    </row>
    <row r="82" spans="1:17" s="8" customFormat="1" ht="22.5">
      <c r="A82" s="9" t="s">
        <v>128</v>
      </c>
      <c r="B82" s="66" t="s">
        <v>82</v>
      </c>
      <c r="C82" s="18">
        <v>295.9</v>
      </c>
      <c r="D82" s="19">
        <v>142.2</v>
      </c>
      <c r="E82" s="102">
        <v>0</v>
      </c>
      <c r="F82" s="102">
        <v>0</v>
      </c>
      <c r="G82" s="102">
        <v>0</v>
      </c>
      <c r="H82" s="102">
        <v>0</v>
      </c>
      <c r="I82" s="162"/>
      <c r="J82" s="175">
        <v>0</v>
      </c>
      <c r="K82" s="66" t="s">
        <v>82</v>
      </c>
      <c r="L82" s="37"/>
      <c r="M82" s="31" t="s">
        <v>205</v>
      </c>
      <c r="N82" s="31"/>
      <c r="O82" s="31"/>
      <c r="P82" s="86"/>
      <c r="Q82" s="32"/>
    </row>
    <row r="83" spans="1:17" s="8" customFormat="1" ht="33" customHeight="1">
      <c r="A83" s="9" t="s">
        <v>129</v>
      </c>
      <c r="B83" s="10" t="s">
        <v>83</v>
      </c>
      <c r="C83" s="18">
        <v>114</v>
      </c>
      <c r="D83" s="19">
        <f>216.4+F83</f>
        <v>236.4</v>
      </c>
      <c r="E83" s="102">
        <v>0</v>
      </c>
      <c r="F83" s="102">
        <f>J83</f>
        <v>20</v>
      </c>
      <c r="G83" s="102">
        <v>0</v>
      </c>
      <c r="H83" s="102">
        <v>0</v>
      </c>
      <c r="I83" s="162">
        <v>0</v>
      </c>
      <c r="J83" s="175">
        <v>20</v>
      </c>
      <c r="K83" s="10" t="s">
        <v>83</v>
      </c>
      <c r="L83" s="16" t="s">
        <v>218</v>
      </c>
      <c r="M83" s="20" t="s">
        <v>217</v>
      </c>
      <c r="N83" s="22">
        <v>41327</v>
      </c>
      <c r="O83" s="31"/>
      <c r="P83" s="86"/>
      <c r="Q83" s="32"/>
    </row>
    <row r="84" spans="1:17" s="8" customFormat="1" ht="56.25">
      <c r="A84" s="9" t="s">
        <v>130</v>
      </c>
      <c r="B84" s="7" t="s">
        <v>155</v>
      </c>
      <c r="C84" s="18">
        <v>840.9</v>
      </c>
      <c r="D84" s="19">
        <v>633.4</v>
      </c>
      <c r="E84" s="102">
        <v>0</v>
      </c>
      <c r="F84" s="102">
        <v>0</v>
      </c>
      <c r="G84" s="102">
        <v>0</v>
      </c>
      <c r="H84" s="102">
        <v>0</v>
      </c>
      <c r="I84" s="162">
        <v>0</v>
      </c>
      <c r="J84" s="175">
        <v>0</v>
      </c>
      <c r="K84" s="7" t="s">
        <v>155</v>
      </c>
      <c r="L84" s="16" t="s">
        <v>221</v>
      </c>
      <c r="M84" s="15" t="s">
        <v>220</v>
      </c>
      <c r="N84" s="22">
        <v>42688</v>
      </c>
      <c r="O84" s="16" t="s">
        <v>219</v>
      </c>
      <c r="P84" s="91" t="s">
        <v>286</v>
      </c>
      <c r="Q84" s="32"/>
    </row>
    <row r="85" spans="1:17" s="8" customFormat="1" ht="51">
      <c r="A85" s="9" t="s">
        <v>131</v>
      </c>
      <c r="B85" s="10" t="s">
        <v>84</v>
      </c>
      <c r="C85" s="18">
        <v>13273.6</v>
      </c>
      <c r="D85" s="19">
        <f>9546.9+E85+F85</f>
        <v>12802.3</v>
      </c>
      <c r="E85" s="102">
        <v>1164</v>
      </c>
      <c r="F85" s="102">
        <f>1.4+G85+I85+J85</f>
        <v>2091.4</v>
      </c>
      <c r="G85" s="102">
        <v>500</v>
      </c>
      <c r="H85" s="102">
        <v>0</v>
      </c>
      <c r="I85" s="162">
        <v>1090</v>
      </c>
      <c r="J85" s="175">
        <v>500</v>
      </c>
      <c r="K85" s="10" t="s">
        <v>84</v>
      </c>
      <c r="L85" s="21" t="s">
        <v>224</v>
      </c>
      <c r="M85" s="21" t="s">
        <v>222</v>
      </c>
      <c r="N85" s="22">
        <v>42933</v>
      </c>
      <c r="O85" s="31"/>
      <c r="P85" s="88" t="s">
        <v>223</v>
      </c>
      <c r="Q85" s="32"/>
    </row>
    <row r="86" spans="1:17" s="8" customFormat="1" ht="25.5">
      <c r="A86" s="9" t="s">
        <v>132</v>
      </c>
      <c r="B86" s="10" t="s">
        <v>85</v>
      </c>
      <c r="C86" s="18">
        <v>522</v>
      </c>
      <c r="D86" s="19">
        <f>437.4+E86+F86</f>
        <v>537.1</v>
      </c>
      <c r="E86" s="102">
        <v>44.6</v>
      </c>
      <c r="F86" s="102">
        <f>H86+J86</f>
        <v>55.1</v>
      </c>
      <c r="G86" s="102">
        <v>0</v>
      </c>
      <c r="H86" s="102">
        <v>1.6</v>
      </c>
      <c r="I86" s="162">
        <v>0</v>
      </c>
      <c r="J86" s="175">
        <v>53.5</v>
      </c>
      <c r="K86" s="10" t="s">
        <v>85</v>
      </c>
      <c r="L86" s="16" t="s">
        <v>226</v>
      </c>
      <c r="M86" s="21" t="s">
        <v>225</v>
      </c>
      <c r="N86" s="22">
        <v>42282</v>
      </c>
      <c r="O86" s="16"/>
      <c r="P86" s="86"/>
      <c r="Q86" s="32"/>
    </row>
    <row r="87" spans="1:17" s="8" customFormat="1" ht="36">
      <c r="A87" s="9" t="s">
        <v>133</v>
      </c>
      <c r="B87" s="10" t="s">
        <v>86</v>
      </c>
      <c r="C87" s="18">
        <v>1275.4</v>
      </c>
      <c r="D87" s="19">
        <f>961.9+E87+F87</f>
        <v>1146.9</v>
      </c>
      <c r="E87" s="102">
        <v>99.3</v>
      </c>
      <c r="F87" s="102">
        <f>J87</f>
        <v>85.7</v>
      </c>
      <c r="G87" s="102">
        <v>0</v>
      </c>
      <c r="H87" s="102">
        <v>0</v>
      </c>
      <c r="I87" s="162">
        <v>0</v>
      </c>
      <c r="J87" s="175">
        <v>85.7</v>
      </c>
      <c r="K87" s="10" t="s">
        <v>86</v>
      </c>
      <c r="L87" s="16" t="s">
        <v>227</v>
      </c>
      <c r="M87" s="67" t="s">
        <v>228</v>
      </c>
      <c r="N87" s="22">
        <v>41285</v>
      </c>
      <c r="O87" s="31"/>
      <c r="P87" s="86"/>
      <c r="Q87" s="32"/>
    </row>
    <row r="88" spans="1:17" s="8" customFormat="1" ht="26.25" customHeight="1">
      <c r="A88" s="9" t="s">
        <v>134</v>
      </c>
      <c r="B88" s="10" t="s">
        <v>87</v>
      </c>
      <c r="C88" s="18">
        <v>4199.3</v>
      </c>
      <c r="D88" s="19">
        <f>3096.6+E88+F88</f>
        <v>3696.6</v>
      </c>
      <c r="E88" s="102">
        <v>200</v>
      </c>
      <c r="F88" s="102">
        <f>100+G88</f>
        <v>400</v>
      </c>
      <c r="G88" s="102">
        <v>300</v>
      </c>
      <c r="H88" s="102">
        <v>0</v>
      </c>
      <c r="I88" s="162">
        <v>0</v>
      </c>
      <c r="J88" s="175">
        <v>0</v>
      </c>
      <c r="K88" s="10" t="s">
        <v>87</v>
      </c>
      <c r="L88" s="21" t="s">
        <v>229</v>
      </c>
      <c r="M88" s="31" t="s">
        <v>205</v>
      </c>
      <c r="N88" s="31"/>
      <c r="O88" s="31"/>
      <c r="P88" s="86"/>
      <c r="Q88" s="32"/>
    </row>
    <row r="89" spans="1:17" s="8" customFormat="1" ht="25.5">
      <c r="A89" s="9" t="s">
        <v>135</v>
      </c>
      <c r="B89" s="10" t="s">
        <v>88</v>
      </c>
      <c r="C89" s="18">
        <v>200</v>
      </c>
      <c r="D89" s="19">
        <v>200</v>
      </c>
      <c r="E89" s="102">
        <v>0</v>
      </c>
      <c r="F89" s="102">
        <v>0</v>
      </c>
      <c r="G89" s="102">
        <v>0</v>
      </c>
      <c r="H89" s="102">
        <v>0</v>
      </c>
      <c r="I89" s="162">
        <v>0</v>
      </c>
      <c r="J89" s="175">
        <v>0</v>
      </c>
      <c r="K89" s="10" t="s">
        <v>88</v>
      </c>
      <c r="L89" s="16" t="s">
        <v>206</v>
      </c>
      <c r="M89" s="21">
        <v>12</v>
      </c>
      <c r="N89" s="22">
        <v>42390</v>
      </c>
      <c r="O89" s="22">
        <v>43120</v>
      </c>
      <c r="P89" s="86"/>
      <c r="Q89" s="32"/>
    </row>
    <row r="90" spans="1:17" s="8" customFormat="1" ht="51">
      <c r="A90" s="389" t="s">
        <v>136</v>
      </c>
      <c r="B90" s="355" t="s">
        <v>89</v>
      </c>
      <c r="C90" s="357">
        <v>175.4</v>
      </c>
      <c r="D90" s="343">
        <v>192.6</v>
      </c>
      <c r="E90" s="343">
        <v>0</v>
      </c>
      <c r="F90" s="343">
        <v>0</v>
      </c>
      <c r="G90" s="343">
        <v>0</v>
      </c>
      <c r="H90" s="343">
        <v>0</v>
      </c>
      <c r="I90" s="343">
        <v>0</v>
      </c>
      <c r="J90" s="343">
        <v>0</v>
      </c>
      <c r="K90" s="376" t="s">
        <v>89</v>
      </c>
      <c r="L90" s="16" t="s">
        <v>231</v>
      </c>
      <c r="M90" s="21" t="s">
        <v>230</v>
      </c>
      <c r="N90" s="22">
        <v>43007</v>
      </c>
      <c r="O90" s="16" t="s">
        <v>210</v>
      </c>
      <c r="P90" s="88">
        <v>120</v>
      </c>
      <c r="Q90" s="32"/>
    </row>
    <row r="91" spans="1:17" s="8" customFormat="1" ht="76.5" customHeight="1">
      <c r="A91" s="391"/>
      <c r="B91" s="356"/>
      <c r="C91" s="356"/>
      <c r="D91" s="344"/>
      <c r="E91" s="344"/>
      <c r="F91" s="344"/>
      <c r="G91" s="344"/>
      <c r="H91" s="344"/>
      <c r="I91" s="344"/>
      <c r="J91" s="344"/>
      <c r="K91" s="375"/>
      <c r="L91" s="16" t="s">
        <v>233</v>
      </c>
      <c r="M91" s="21" t="s">
        <v>232</v>
      </c>
      <c r="N91" s="33">
        <v>42538</v>
      </c>
      <c r="O91" s="22" t="s">
        <v>208</v>
      </c>
      <c r="P91" s="88">
        <v>361.8</v>
      </c>
      <c r="Q91" s="32"/>
    </row>
    <row r="92" spans="1:17" s="12" customFormat="1" ht="25.5">
      <c r="A92" s="415" t="s">
        <v>137</v>
      </c>
      <c r="B92" s="416" t="s">
        <v>90</v>
      </c>
      <c r="C92" s="417">
        <v>300</v>
      </c>
      <c r="D92" s="341">
        <v>432.4</v>
      </c>
      <c r="E92" s="341">
        <v>0</v>
      </c>
      <c r="F92" s="341">
        <v>0</v>
      </c>
      <c r="G92" s="341">
        <v>0</v>
      </c>
      <c r="H92" s="341">
        <v>0</v>
      </c>
      <c r="I92" s="341">
        <v>0</v>
      </c>
      <c r="J92" s="168">
        <v>0</v>
      </c>
      <c r="K92" s="377" t="s">
        <v>90</v>
      </c>
      <c r="L92" s="27" t="s">
        <v>234</v>
      </c>
      <c r="M92" s="23">
        <v>404</v>
      </c>
      <c r="N92" s="34">
        <v>43010</v>
      </c>
      <c r="O92" s="34">
        <v>43375</v>
      </c>
      <c r="P92" s="92">
        <v>93.3</v>
      </c>
      <c r="Q92" s="35"/>
    </row>
    <row r="93" spans="1:17" s="12" customFormat="1" ht="25.5">
      <c r="A93" s="391"/>
      <c r="B93" s="367"/>
      <c r="C93" s="356"/>
      <c r="D93" s="344"/>
      <c r="E93" s="344"/>
      <c r="F93" s="344"/>
      <c r="G93" s="344"/>
      <c r="H93" s="344"/>
      <c r="I93" s="342"/>
      <c r="J93" s="177"/>
      <c r="K93" s="362"/>
      <c r="L93" s="28" t="s">
        <v>235</v>
      </c>
      <c r="M93" s="27">
        <v>234</v>
      </c>
      <c r="N93" s="36">
        <v>42531</v>
      </c>
      <c r="O93" s="34"/>
      <c r="P93" s="93">
        <v>461.3</v>
      </c>
      <c r="Q93" s="35"/>
    </row>
    <row r="94" spans="1:17" s="8" customFormat="1" ht="25.5">
      <c r="A94" s="9" t="s">
        <v>138</v>
      </c>
      <c r="B94" s="62" t="s">
        <v>91</v>
      </c>
      <c r="C94" s="18">
        <v>453.6</v>
      </c>
      <c r="D94" s="19">
        <f>260.9+E94+F94</f>
        <v>328.1</v>
      </c>
      <c r="E94" s="102">
        <v>27.6</v>
      </c>
      <c r="F94" s="102">
        <f>1.2+G94+J94</f>
        <v>39.6</v>
      </c>
      <c r="G94" s="102">
        <v>0.8</v>
      </c>
      <c r="H94" s="102">
        <v>0</v>
      </c>
      <c r="I94" s="162">
        <v>0</v>
      </c>
      <c r="J94" s="175">
        <v>37.6</v>
      </c>
      <c r="K94" s="62" t="s">
        <v>91</v>
      </c>
      <c r="L94" s="16" t="s">
        <v>237</v>
      </c>
      <c r="M94" s="21" t="s">
        <v>236</v>
      </c>
      <c r="N94" s="22">
        <v>42794</v>
      </c>
      <c r="O94" s="22">
        <v>43100</v>
      </c>
      <c r="P94" s="86"/>
      <c r="Q94" s="32"/>
    </row>
    <row r="95" spans="1:17" s="8" customFormat="1" ht="25.5">
      <c r="A95" s="389" t="s">
        <v>139</v>
      </c>
      <c r="B95" s="355" t="s">
        <v>92</v>
      </c>
      <c r="C95" s="357">
        <v>576</v>
      </c>
      <c r="D95" s="343">
        <f>404.5+E95+F95</f>
        <v>554.2</v>
      </c>
      <c r="E95" s="343">
        <v>14.8</v>
      </c>
      <c r="F95" s="343">
        <f>J95</f>
        <v>134.9</v>
      </c>
      <c r="G95" s="343">
        <v>0</v>
      </c>
      <c r="H95" s="343">
        <v>0</v>
      </c>
      <c r="I95" s="343">
        <v>0</v>
      </c>
      <c r="J95" s="343">
        <v>134.9</v>
      </c>
      <c r="K95" s="376" t="s">
        <v>92</v>
      </c>
      <c r="L95" s="16" t="s">
        <v>238</v>
      </c>
      <c r="M95" s="15">
        <v>242</v>
      </c>
      <c r="N95" s="22">
        <v>41495</v>
      </c>
      <c r="O95" s="31"/>
      <c r="P95" s="86"/>
      <c r="Q95" s="32"/>
    </row>
    <row r="96" spans="1:17" s="8" customFormat="1" ht="38.25">
      <c r="A96" s="391"/>
      <c r="B96" s="356"/>
      <c r="C96" s="356"/>
      <c r="D96" s="344"/>
      <c r="E96" s="344"/>
      <c r="F96" s="344"/>
      <c r="G96" s="344"/>
      <c r="H96" s="344"/>
      <c r="I96" s="344"/>
      <c r="J96" s="344"/>
      <c r="K96" s="375"/>
      <c r="L96" s="16" t="s">
        <v>241</v>
      </c>
      <c r="M96" s="21" t="s">
        <v>239</v>
      </c>
      <c r="N96" s="22">
        <v>43006</v>
      </c>
      <c r="O96" s="16" t="s">
        <v>240</v>
      </c>
      <c r="P96" s="86"/>
      <c r="Q96" s="32"/>
    </row>
    <row r="97" spans="1:17" s="8" customFormat="1" ht="51">
      <c r="A97" s="9" t="s">
        <v>140</v>
      </c>
      <c r="B97" s="13" t="s">
        <v>93</v>
      </c>
      <c r="C97" s="18">
        <v>2400</v>
      </c>
      <c r="D97" s="19">
        <f>2374.9+E97+F97</f>
        <v>2888.6000000000004</v>
      </c>
      <c r="E97" s="102">
        <v>208.9</v>
      </c>
      <c r="F97" s="102">
        <f>30+H97+J97</f>
        <v>304.8</v>
      </c>
      <c r="G97" s="102">
        <v>0</v>
      </c>
      <c r="H97" s="102">
        <v>152.4</v>
      </c>
      <c r="I97" s="162">
        <v>0</v>
      </c>
      <c r="J97" s="175">
        <v>122.4</v>
      </c>
      <c r="K97" s="13" t="s">
        <v>93</v>
      </c>
      <c r="L97" s="37" t="s">
        <v>243</v>
      </c>
      <c r="M97" s="21" t="s">
        <v>242</v>
      </c>
      <c r="N97" s="22">
        <v>42760</v>
      </c>
      <c r="O97" s="22">
        <v>39447</v>
      </c>
      <c r="P97" s="86"/>
      <c r="Q97" s="32"/>
    </row>
    <row r="98" spans="1:17" s="8" customFormat="1" ht="30">
      <c r="A98" s="9" t="s">
        <v>141</v>
      </c>
      <c r="B98" s="13" t="s">
        <v>156</v>
      </c>
      <c r="C98" s="18">
        <v>710</v>
      </c>
      <c r="D98" s="19">
        <v>1451.8</v>
      </c>
      <c r="E98" s="102">
        <v>0</v>
      </c>
      <c r="F98" s="102">
        <v>0</v>
      </c>
      <c r="G98" s="102">
        <v>0</v>
      </c>
      <c r="H98" s="102">
        <v>0</v>
      </c>
      <c r="I98" s="162">
        <v>0</v>
      </c>
      <c r="J98" s="175">
        <v>0</v>
      </c>
      <c r="K98" s="13" t="s">
        <v>156</v>
      </c>
      <c r="L98" s="16" t="s">
        <v>212</v>
      </c>
      <c r="M98" s="21">
        <v>657</v>
      </c>
      <c r="N98" s="22">
        <v>42004</v>
      </c>
      <c r="O98" s="31" t="s">
        <v>244</v>
      </c>
      <c r="P98" s="86"/>
      <c r="Q98" s="32"/>
    </row>
    <row r="99" spans="1:17" s="8" customFormat="1" ht="25.5">
      <c r="A99" s="9" t="s">
        <v>142</v>
      </c>
      <c r="B99" s="11" t="s">
        <v>94</v>
      </c>
      <c r="C99" s="18">
        <v>115.2</v>
      </c>
      <c r="D99" s="19">
        <f>508.2+E99+F99</f>
        <v>608.1</v>
      </c>
      <c r="E99" s="102">
        <v>40</v>
      </c>
      <c r="F99" s="102">
        <f>J99</f>
        <v>59.9</v>
      </c>
      <c r="G99" s="102">
        <v>0</v>
      </c>
      <c r="H99" s="102">
        <v>0</v>
      </c>
      <c r="I99" s="162">
        <v>0</v>
      </c>
      <c r="J99" s="175">
        <v>59.9</v>
      </c>
      <c r="K99" s="11" t="s">
        <v>94</v>
      </c>
      <c r="L99" s="16" t="s">
        <v>246</v>
      </c>
      <c r="M99" s="21">
        <v>185</v>
      </c>
      <c r="N99" s="22">
        <v>42507</v>
      </c>
      <c r="O99" s="22" t="s">
        <v>245</v>
      </c>
      <c r="P99" s="86"/>
      <c r="Q99" s="32"/>
    </row>
    <row r="100" spans="1:17" s="8" customFormat="1" ht="21.75" customHeight="1">
      <c r="A100" s="9" t="s">
        <v>143</v>
      </c>
      <c r="B100" s="11" t="s">
        <v>95</v>
      </c>
      <c r="C100" s="18">
        <v>127.1</v>
      </c>
      <c r="D100" s="19">
        <v>43.5</v>
      </c>
      <c r="E100" s="102">
        <v>0</v>
      </c>
      <c r="F100" s="102">
        <v>0</v>
      </c>
      <c r="G100" s="102">
        <v>0</v>
      </c>
      <c r="H100" s="102">
        <v>0</v>
      </c>
      <c r="I100" s="162">
        <v>0</v>
      </c>
      <c r="J100" s="175">
        <v>0</v>
      </c>
      <c r="K100" s="11" t="s">
        <v>95</v>
      </c>
      <c r="L100" s="37"/>
      <c r="M100" s="31" t="s">
        <v>205</v>
      </c>
      <c r="N100" s="31"/>
      <c r="O100" s="31"/>
      <c r="P100" s="86"/>
      <c r="Q100" s="32"/>
    </row>
    <row r="101" spans="1:17" s="8" customFormat="1" ht="28.5" customHeight="1">
      <c r="A101" s="9" t="s">
        <v>283</v>
      </c>
      <c r="B101" s="13" t="s">
        <v>96</v>
      </c>
      <c r="C101" s="18">
        <v>3020.2</v>
      </c>
      <c r="D101" s="19">
        <f>3791.6+E101+F101</f>
        <v>5962.9</v>
      </c>
      <c r="E101" s="102">
        <f>1332-518.1</f>
        <v>813.9</v>
      </c>
      <c r="F101" s="102">
        <f>204.1+G101+H101+I101+J101</f>
        <v>1357.4</v>
      </c>
      <c r="G101" s="102">
        <v>358.6</v>
      </c>
      <c r="H101" s="102">
        <v>146.6</v>
      </c>
      <c r="I101" s="162">
        <v>508</v>
      </c>
      <c r="J101" s="175">
        <v>140.1</v>
      </c>
      <c r="K101" s="13" t="s">
        <v>96</v>
      </c>
      <c r="L101" s="37"/>
      <c r="M101" s="31"/>
      <c r="N101" s="31"/>
      <c r="O101" s="31"/>
      <c r="P101" s="86"/>
      <c r="Q101" s="32"/>
    </row>
    <row r="102" spans="1:17" s="8" customFormat="1" ht="15">
      <c r="A102" s="97" t="s">
        <v>144</v>
      </c>
      <c r="B102" s="98" t="s">
        <v>97</v>
      </c>
      <c r="C102" s="99">
        <f>C103+C104+C107+C108+C109+C110+C111+C112+C114+C115+C116</f>
        <v>17165</v>
      </c>
      <c r="D102" s="99">
        <f>D103+D104+D107+D108+D109+D110+D111+D112+D114+D115+D116+D118</f>
        <v>40586.6</v>
      </c>
      <c r="E102" s="99">
        <f>E103+E104+E107+E108+E109+E110+E111+E112+E114+E115+E116+E118</f>
        <v>518</v>
      </c>
      <c r="F102" s="99">
        <f>SUM(F103:F117)+F118</f>
        <v>28336.4</v>
      </c>
      <c r="G102" s="99">
        <f>G103+G104+G107+G108+G109+G110+G111+G112+G114+G115+G116</f>
        <v>0</v>
      </c>
      <c r="H102" s="99">
        <f>H103+H104+H107+H108+H109+H110+H111+H112+H114+H115+H116+H118</f>
        <v>4662.6</v>
      </c>
      <c r="I102" s="99"/>
      <c r="J102" s="99"/>
      <c r="K102" s="68" t="s">
        <v>97</v>
      </c>
      <c r="L102" s="37"/>
      <c r="M102" s="31"/>
      <c r="N102" s="31"/>
      <c r="O102" s="31"/>
      <c r="P102" s="86"/>
      <c r="Q102" s="32"/>
    </row>
    <row r="103" spans="1:17" s="8" customFormat="1" ht="76.5">
      <c r="A103" s="9" t="s">
        <v>145</v>
      </c>
      <c r="B103" s="352" t="s">
        <v>97</v>
      </c>
      <c r="C103" s="18">
        <v>13073</v>
      </c>
      <c r="D103" s="19">
        <v>14194.2</v>
      </c>
      <c r="E103" s="19"/>
      <c r="F103" s="102">
        <v>0</v>
      </c>
      <c r="G103" s="102">
        <v>0</v>
      </c>
      <c r="H103" s="102">
        <v>0</v>
      </c>
      <c r="I103" s="162">
        <v>0</v>
      </c>
      <c r="J103" s="175">
        <v>0</v>
      </c>
      <c r="K103" s="69" t="s">
        <v>98</v>
      </c>
      <c r="L103" s="37"/>
      <c r="M103" s="21">
        <v>527</v>
      </c>
      <c r="N103" s="22">
        <v>42335</v>
      </c>
      <c r="O103" s="70" t="s">
        <v>247</v>
      </c>
      <c r="P103" s="88" t="s">
        <v>248</v>
      </c>
      <c r="Q103" s="32"/>
    </row>
    <row r="104" spans="1:17" s="8" customFormat="1" ht="25.5">
      <c r="A104" s="9" t="s">
        <v>146</v>
      </c>
      <c r="B104" s="353"/>
      <c r="C104" s="18">
        <v>0</v>
      </c>
      <c r="D104" s="19">
        <f>53.4+9506.6</f>
        <v>9560</v>
      </c>
      <c r="E104" s="19"/>
      <c r="F104" s="102">
        <v>0</v>
      </c>
      <c r="G104" s="102">
        <v>0</v>
      </c>
      <c r="H104" s="102">
        <v>0</v>
      </c>
      <c r="I104" s="162">
        <v>0</v>
      </c>
      <c r="J104" s="175">
        <v>0</v>
      </c>
      <c r="K104" s="69" t="s">
        <v>291</v>
      </c>
      <c r="L104" s="16" t="s">
        <v>250</v>
      </c>
      <c r="M104" s="21" t="s">
        <v>249</v>
      </c>
      <c r="N104" s="22">
        <v>42663</v>
      </c>
      <c r="O104" s="22">
        <v>43393</v>
      </c>
      <c r="P104" s="86" t="s">
        <v>259</v>
      </c>
      <c r="Q104" s="32"/>
    </row>
    <row r="105" spans="1:17" s="8" customFormat="1" ht="36" customHeight="1">
      <c r="A105" s="145" t="s">
        <v>147</v>
      </c>
      <c r="B105" s="353"/>
      <c r="C105" s="140">
        <v>0</v>
      </c>
      <c r="D105" s="144">
        <f>F105</f>
        <v>11408.3</v>
      </c>
      <c r="E105" s="144">
        <v>0</v>
      </c>
      <c r="F105" s="144">
        <v>11408.3</v>
      </c>
      <c r="G105" s="144">
        <v>0</v>
      </c>
      <c r="H105" s="144">
        <v>0</v>
      </c>
      <c r="I105" s="162">
        <v>0</v>
      </c>
      <c r="J105" s="175">
        <v>0</v>
      </c>
      <c r="K105" s="69" t="s">
        <v>316</v>
      </c>
      <c r="L105" s="16" t="s">
        <v>311</v>
      </c>
      <c r="M105" s="21" t="s">
        <v>312</v>
      </c>
      <c r="N105" s="22">
        <v>42944</v>
      </c>
      <c r="O105" s="22"/>
      <c r="P105" s="86" t="s">
        <v>317</v>
      </c>
      <c r="Q105" s="146"/>
    </row>
    <row r="106" spans="1:17" s="8" customFormat="1" ht="38.25">
      <c r="A106" s="73" t="s">
        <v>148</v>
      </c>
      <c r="B106" s="353"/>
      <c r="C106" s="140">
        <v>0</v>
      </c>
      <c r="D106" s="144">
        <f>F106</f>
        <v>701.1</v>
      </c>
      <c r="E106" s="144">
        <v>0</v>
      </c>
      <c r="F106" s="144">
        <v>701.1</v>
      </c>
      <c r="G106" s="144">
        <v>0</v>
      </c>
      <c r="H106" s="144">
        <v>0</v>
      </c>
      <c r="I106" s="162">
        <v>0</v>
      </c>
      <c r="J106" s="175">
        <v>0</v>
      </c>
      <c r="K106" s="143" t="s">
        <v>251</v>
      </c>
      <c r="L106" s="71" t="s">
        <v>252</v>
      </c>
      <c r="M106" s="141" t="s">
        <v>253</v>
      </c>
      <c r="N106" s="42">
        <v>42916</v>
      </c>
      <c r="O106" s="141"/>
      <c r="P106" s="86" t="s">
        <v>254</v>
      </c>
      <c r="Q106" s="146"/>
    </row>
    <row r="107" spans="1:17" s="8" customFormat="1" ht="15">
      <c r="A107" s="369" t="s">
        <v>262</v>
      </c>
      <c r="B107" s="353"/>
      <c r="C107" s="392">
        <v>2728</v>
      </c>
      <c r="D107" s="144">
        <v>2204</v>
      </c>
      <c r="E107" s="144"/>
      <c r="F107" s="144">
        <v>0</v>
      </c>
      <c r="G107" s="144">
        <v>0</v>
      </c>
      <c r="H107" s="144">
        <v>0</v>
      </c>
      <c r="I107" s="162">
        <v>0</v>
      </c>
      <c r="J107" s="175">
        <v>0</v>
      </c>
      <c r="K107" s="418" t="s">
        <v>99</v>
      </c>
      <c r="L107" s="71" t="s">
        <v>157</v>
      </c>
      <c r="M107" s="368">
        <v>44027</v>
      </c>
      <c r="N107" s="366">
        <v>41627</v>
      </c>
      <c r="O107" s="368"/>
      <c r="P107" s="404"/>
      <c r="Q107" s="32"/>
    </row>
    <row r="108" spans="1:17" s="8" customFormat="1" ht="15">
      <c r="A108" s="370"/>
      <c r="B108" s="353"/>
      <c r="C108" s="393"/>
      <c r="D108" s="144">
        <v>427.2</v>
      </c>
      <c r="E108" s="144"/>
      <c r="F108" s="144">
        <v>0</v>
      </c>
      <c r="G108" s="144">
        <v>0</v>
      </c>
      <c r="H108" s="144">
        <v>0</v>
      </c>
      <c r="I108" s="162">
        <v>0</v>
      </c>
      <c r="J108" s="175">
        <v>0</v>
      </c>
      <c r="K108" s="371"/>
      <c r="L108" s="37" t="s">
        <v>158</v>
      </c>
      <c r="M108" s="408"/>
      <c r="N108" s="408"/>
      <c r="O108" s="408"/>
      <c r="P108" s="413"/>
      <c r="Q108" s="32"/>
    </row>
    <row r="109" spans="1:17" s="8" customFormat="1" ht="15">
      <c r="A109" s="370"/>
      <c r="B109" s="353"/>
      <c r="C109" s="393"/>
      <c r="D109" s="144">
        <v>2967.8</v>
      </c>
      <c r="E109" s="144"/>
      <c r="F109" s="144">
        <v>0</v>
      </c>
      <c r="G109" s="144">
        <v>0</v>
      </c>
      <c r="H109" s="144">
        <v>0</v>
      </c>
      <c r="I109" s="162">
        <v>0</v>
      </c>
      <c r="J109" s="175">
        <v>0</v>
      </c>
      <c r="K109" s="371"/>
      <c r="L109" s="71" t="s">
        <v>159</v>
      </c>
      <c r="M109" s="408"/>
      <c r="N109" s="408"/>
      <c r="O109" s="408"/>
      <c r="P109" s="413"/>
      <c r="Q109" s="32"/>
    </row>
    <row r="110" spans="1:17" s="8" customFormat="1" ht="15">
      <c r="A110" s="370"/>
      <c r="B110" s="353"/>
      <c r="C110" s="393"/>
      <c r="D110" s="144">
        <v>0.6</v>
      </c>
      <c r="E110" s="144"/>
      <c r="F110" s="144"/>
      <c r="G110" s="144">
        <v>0</v>
      </c>
      <c r="H110" s="144">
        <v>0</v>
      </c>
      <c r="I110" s="162">
        <v>0</v>
      </c>
      <c r="J110" s="175">
        <v>0</v>
      </c>
      <c r="K110" s="371"/>
      <c r="L110" s="37" t="s">
        <v>160</v>
      </c>
      <c r="M110" s="408"/>
      <c r="N110" s="408"/>
      <c r="O110" s="408"/>
      <c r="P110" s="413"/>
      <c r="Q110" s="32"/>
    </row>
    <row r="111" spans="1:17" s="8" customFormat="1" ht="15.75" thickBot="1">
      <c r="A111" s="370"/>
      <c r="B111" s="353"/>
      <c r="C111" s="394"/>
      <c r="D111" s="151">
        <v>23.3</v>
      </c>
      <c r="E111" s="151"/>
      <c r="F111" s="151"/>
      <c r="G111" s="151">
        <v>0</v>
      </c>
      <c r="H111" s="151">
        <v>0</v>
      </c>
      <c r="I111" s="163">
        <v>0</v>
      </c>
      <c r="J111" s="176">
        <v>0</v>
      </c>
      <c r="K111" s="419"/>
      <c r="L111" s="152" t="s">
        <v>161</v>
      </c>
      <c r="M111" s="412"/>
      <c r="N111" s="412"/>
      <c r="O111" s="412"/>
      <c r="P111" s="414"/>
      <c r="Q111" s="32"/>
    </row>
    <row r="112" spans="1:17" s="8" customFormat="1" ht="45" customHeight="1">
      <c r="A112" s="9" t="s">
        <v>263</v>
      </c>
      <c r="B112" s="353"/>
      <c r="C112" s="148">
        <v>1364</v>
      </c>
      <c r="D112" s="139">
        <v>31.8</v>
      </c>
      <c r="E112" s="139"/>
      <c r="F112" s="139"/>
      <c r="G112" s="139">
        <v>0</v>
      </c>
      <c r="H112" s="139">
        <v>0</v>
      </c>
      <c r="I112" s="161">
        <v>0</v>
      </c>
      <c r="J112" s="171">
        <v>0</v>
      </c>
      <c r="K112" s="346" t="s">
        <v>100</v>
      </c>
      <c r="L112" s="150" t="s">
        <v>161</v>
      </c>
      <c r="M112" s="348" t="s">
        <v>265</v>
      </c>
      <c r="N112" s="350">
        <v>41627</v>
      </c>
      <c r="O112" s="142"/>
      <c r="P112" s="147"/>
      <c r="Q112" s="32"/>
    </row>
    <row r="113" spans="1:17" s="8" customFormat="1" ht="27" customHeight="1">
      <c r="A113" s="73" t="s">
        <v>264</v>
      </c>
      <c r="B113" s="353"/>
      <c r="C113" s="148">
        <v>0</v>
      </c>
      <c r="D113" s="139">
        <f>F113</f>
        <v>156.1</v>
      </c>
      <c r="E113" s="139">
        <v>0</v>
      </c>
      <c r="F113" s="139">
        <v>156.1</v>
      </c>
      <c r="G113" s="139">
        <v>0</v>
      </c>
      <c r="H113" s="139">
        <v>0</v>
      </c>
      <c r="I113" s="160">
        <v>0</v>
      </c>
      <c r="J113" s="169"/>
      <c r="K113" s="347"/>
      <c r="L113" s="150" t="s">
        <v>159</v>
      </c>
      <c r="M113" s="349"/>
      <c r="N113" s="351"/>
      <c r="O113" s="142"/>
      <c r="P113" s="147"/>
      <c r="Q113" s="146"/>
    </row>
    <row r="114" spans="1:17" s="8" customFormat="1" ht="38.25">
      <c r="A114" s="73" t="s">
        <v>313</v>
      </c>
      <c r="B114" s="353"/>
      <c r="C114" s="18"/>
      <c r="D114" s="19">
        <v>708.7</v>
      </c>
      <c r="E114" s="19"/>
      <c r="F114" s="102">
        <v>0</v>
      </c>
      <c r="G114" s="102">
        <v>0</v>
      </c>
      <c r="H114" s="102">
        <v>0</v>
      </c>
      <c r="I114" s="162">
        <v>0</v>
      </c>
      <c r="J114" s="175">
        <v>0</v>
      </c>
      <c r="K114" s="72" t="s">
        <v>251</v>
      </c>
      <c r="L114" s="71" t="s">
        <v>252</v>
      </c>
      <c r="M114" s="31" t="s">
        <v>253</v>
      </c>
      <c r="N114" s="42">
        <v>42916</v>
      </c>
      <c r="O114" s="31"/>
      <c r="P114" s="86" t="s">
        <v>254</v>
      </c>
      <c r="Q114" s="32"/>
    </row>
    <row r="115" spans="1:17" s="8" customFormat="1" ht="51">
      <c r="A115" s="73" t="s">
        <v>314</v>
      </c>
      <c r="B115" s="353"/>
      <c r="C115" s="18"/>
      <c r="D115" s="19">
        <v>2724.4</v>
      </c>
      <c r="E115" s="19"/>
      <c r="F115" s="102">
        <v>0</v>
      </c>
      <c r="G115" s="102">
        <v>0</v>
      </c>
      <c r="H115" s="102">
        <v>0</v>
      </c>
      <c r="I115" s="162">
        <v>0</v>
      </c>
      <c r="J115" s="175">
        <v>0</v>
      </c>
      <c r="K115" s="19" t="s">
        <v>255</v>
      </c>
      <c r="L115" s="71" t="s">
        <v>256</v>
      </c>
      <c r="M115" s="31" t="s">
        <v>257</v>
      </c>
      <c r="N115" s="42">
        <v>42325</v>
      </c>
      <c r="O115" s="31"/>
      <c r="P115" s="86" t="s">
        <v>288</v>
      </c>
      <c r="Q115" s="32"/>
    </row>
    <row r="116" spans="1:17" s="8" customFormat="1" ht="30">
      <c r="A116" s="95" t="s">
        <v>315</v>
      </c>
      <c r="B116" s="353"/>
      <c r="C116" s="24"/>
      <c r="D116" s="25">
        <v>2564</v>
      </c>
      <c r="E116" s="25"/>
      <c r="F116" s="109">
        <v>0</v>
      </c>
      <c r="G116" s="109">
        <v>0</v>
      </c>
      <c r="H116" s="109">
        <v>0</v>
      </c>
      <c r="I116" s="159">
        <v>0</v>
      </c>
      <c r="J116" s="170">
        <v>0</v>
      </c>
      <c r="K116" s="25" t="s">
        <v>258</v>
      </c>
      <c r="L116" s="41" t="s">
        <v>260</v>
      </c>
      <c r="M116" s="39" t="s">
        <v>261</v>
      </c>
      <c r="N116" s="40">
        <v>42326</v>
      </c>
      <c r="O116" s="39"/>
      <c r="P116" s="96" t="s">
        <v>287</v>
      </c>
      <c r="Q116" s="32"/>
    </row>
    <row r="117" spans="1:17" s="8" customFormat="1" ht="36" customHeight="1">
      <c r="A117" s="145" t="s">
        <v>318</v>
      </c>
      <c r="B117" s="353"/>
      <c r="C117" s="140">
        <v>0</v>
      </c>
      <c r="D117" s="144">
        <f>F117</f>
        <v>11408.3</v>
      </c>
      <c r="E117" s="144">
        <v>0</v>
      </c>
      <c r="F117" s="144">
        <v>11408.3</v>
      </c>
      <c r="G117" s="144">
        <v>0</v>
      </c>
      <c r="H117" s="144">
        <v>0</v>
      </c>
      <c r="I117" s="162">
        <v>0</v>
      </c>
      <c r="J117" s="175">
        <v>0</v>
      </c>
      <c r="K117" s="69" t="s">
        <v>316</v>
      </c>
      <c r="L117" s="16" t="s">
        <v>311</v>
      </c>
      <c r="M117" s="21" t="s">
        <v>312</v>
      </c>
      <c r="N117" s="22">
        <v>42944</v>
      </c>
      <c r="O117" s="22"/>
      <c r="P117" s="86" t="s">
        <v>317</v>
      </c>
      <c r="Q117" s="146"/>
    </row>
    <row r="118" spans="1:17" s="8" customFormat="1" ht="36" customHeight="1" thickBot="1">
      <c r="A118" s="158" t="s">
        <v>332</v>
      </c>
      <c r="B118" s="354"/>
      <c r="C118" s="156">
        <v>0</v>
      </c>
      <c r="D118" s="157">
        <f>E118+F118</f>
        <v>5180.6</v>
      </c>
      <c r="E118" s="157">
        <v>518</v>
      </c>
      <c r="F118" s="157">
        <f>H118</f>
        <v>4662.6</v>
      </c>
      <c r="G118" s="157">
        <v>0</v>
      </c>
      <c r="H118" s="157">
        <v>4662.6</v>
      </c>
      <c r="I118" s="162">
        <v>0</v>
      </c>
      <c r="J118" s="175">
        <v>0</v>
      </c>
      <c r="K118" s="69" t="s">
        <v>333</v>
      </c>
      <c r="L118" s="16"/>
      <c r="M118" s="21"/>
      <c r="N118" s="22"/>
      <c r="O118" s="22"/>
      <c r="P118" s="86"/>
      <c r="Q118" s="155"/>
    </row>
    <row r="119" spans="1:17" s="78" customFormat="1" ht="24.75" customHeight="1" thickBot="1">
      <c r="A119" s="130" t="s">
        <v>299</v>
      </c>
      <c r="B119" s="131" t="s">
        <v>300</v>
      </c>
      <c r="C119" s="138">
        <f aca="true" t="shared" si="4" ref="C119:J119">C102+C69+C41+C36+C28+C16+C10</f>
        <v>667116</v>
      </c>
      <c r="D119" s="132">
        <f t="shared" si="4"/>
        <v>663870.26</v>
      </c>
      <c r="E119" s="132">
        <f t="shared" si="4"/>
        <v>53211.85999999999</v>
      </c>
      <c r="F119" s="153">
        <f t="shared" si="4"/>
        <v>90486.3</v>
      </c>
      <c r="G119" s="132">
        <f t="shared" si="4"/>
        <v>9834.6</v>
      </c>
      <c r="H119" s="132">
        <f t="shared" si="4"/>
        <v>20792</v>
      </c>
      <c r="I119" s="132">
        <f t="shared" si="4"/>
        <v>17657.9</v>
      </c>
      <c r="J119" s="132">
        <f t="shared" si="4"/>
        <v>2424.8</v>
      </c>
      <c r="K119" s="131" t="s">
        <v>299</v>
      </c>
      <c r="L119" s="133" t="s">
        <v>299</v>
      </c>
      <c r="M119" s="134" t="s">
        <v>299</v>
      </c>
      <c r="N119" s="134" t="s">
        <v>299</v>
      </c>
      <c r="O119" s="134" t="s">
        <v>299</v>
      </c>
      <c r="P119" s="135" t="s">
        <v>299</v>
      </c>
      <c r="Q119" s="77"/>
    </row>
    <row r="120" spans="2:11" ht="39" customHeight="1">
      <c r="B120" s="4" t="s">
        <v>7</v>
      </c>
      <c r="E120" s="6"/>
      <c r="F120" s="6" t="s">
        <v>290</v>
      </c>
      <c r="G120" s="6"/>
      <c r="H120" s="6"/>
      <c r="I120" s="6"/>
      <c r="J120" s="6"/>
      <c r="K120" s="6" t="s">
        <v>290</v>
      </c>
    </row>
    <row r="121" spans="3:10" ht="15">
      <c r="C121" s="380" t="s">
        <v>6</v>
      </c>
      <c r="D121" s="380"/>
      <c r="E121" s="6"/>
      <c r="F121" s="6"/>
      <c r="G121" s="6"/>
      <c r="H121" s="6"/>
      <c r="I121" s="6"/>
      <c r="J121" s="6"/>
    </row>
    <row r="122" spans="4:10" ht="15">
      <c r="D122" s="6"/>
      <c r="E122" s="136"/>
      <c r="F122" s="6"/>
      <c r="G122" s="6"/>
      <c r="H122" s="6"/>
      <c r="I122" s="6"/>
      <c r="J122" s="6"/>
    </row>
    <row r="123" spans="4:10" ht="15">
      <c r="D123" s="6"/>
      <c r="E123" s="6"/>
      <c r="F123" s="6"/>
      <c r="G123" s="6"/>
      <c r="H123" s="6"/>
      <c r="I123" s="6"/>
      <c r="J123" s="6"/>
    </row>
    <row r="124" spans="4:10" ht="15">
      <c r="D124" s="6"/>
      <c r="E124" s="6"/>
      <c r="F124" s="6"/>
      <c r="G124" s="6"/>
      <c r="H124" s="6"/>
      <c r="I124" s="6"/>
      <c r="J124" s="6"/>
    </row>
    <row r="125" spans="4:10" ht="15">
      <c r="D125" s="6"/>
      <c r="E125" s="6"/>
      <c r="F125" s="6"/>
      <c r="G125" s="154"/>
      <c r="H125" s="6"/>
      <c r="I125" s="6"/>
      <c r="J125" s="6"/>
    </row>
    <row r="126" spans="4:10" ht="15">
      <c r="D126" s="6"/>
      <c r="E126" s="6"/>
      <c r="F126" s="6"/>
      <c r="G126" s="6"/>
      <c r="H126" s="6"/>
      <c r="I126" s="6"/>
      <c r="J126" s="6"/>
    </row>
    <row r="127" spans="4:10" ht="15">
      <c r="D127" s="6"/>
      <c r="E127" s="6"/>
      <c r="F127" s="6"/>
      <c r="G127" s="6"/>
      <c r="H127" s="6"/>
      <c r="I127" s="6"/>
      <c r="J127" s="6"/>
    </row>
    <row r="128" spans="4:10" ht="15">
      <c r="D128" s="6"/>
      <c r="E128" s="6"/>
      <c r="F128" s="6"/>
      <c r="G128" s="6"/>
      <c r="H128" s="6"/>
      <c r="I128" s="6"/>
      <c r="J128" s="6"/>
    </row>
    <row r="129" spans="4:10" ht="15">
      <c r="D129" s="6"/>
      <c r="E129" s="6"/>
      <c r="F129" s="6"/>
      <c r="G129" s="6"/>
      <c r="H129" s="6"/>
      <c r="I129" s="6"/>
      <c r="J129" s="6"/>
    </row>
    <row r="130" spans="4:10" ht="15">
      <c r="D130" s="6"/>
      <c r="E130" s="6"/>
      <c r="F130" s="6"/>
      <c r="G130" s="6"/>
      <c r="H130" s="6"/>
      <c r="I130" s="6"/>
      <c r="J130" s="6"/>
    </row>
    <row r="131" spans="4:10" ht="15">
      <c r="D131" s="6"/>
      <c r="E131" s="6"/>
      <c r="F131" s="6"/>
      <c r="G131" s="6"/>
      <c r="H131" s="6"/>
      <c r="I131" s="6"/>
      <c r="J131" s="6"/>
    </row>
    <row r="132" spans="4:10" ht="15">
      <c r="D132" s="6"/>
      <c r="E132" s="6"/>
      <c r="F132" s="6"/>
      <c r="G132" s="6"/>
      <c r="H132" s="6"/>
      <c r="I132" s="6"/>
      <c r="J132" s="6"/>
    </row>
    <row r="133" spans="4:10" ht="15">
      <c r="D133" s="6"/>
      <c r="E133" s="6"/>
      <c r="F133" s="6"/>
      <c r="G133" s="6"/>
      <c r="H133" s="6"/>
      <c r="I133" s="6"/>
      <c r="J133" s="6"/>
    </row>
    <row r="134" spans="4:10" ht="15">
      <c r="D134" s="6"/>
      <c r="E134" s="6"/>
      <c r="F134" s="6"/>
      <c r="G134" s="6"/>
      <c r="H134" s="6"/>
      <c r="I134" s="6"/>
      <c r="J134" s="6"/>
    </row>
    <row r="135" spans="4:10" ht="15">
      <c r="D135" s="6"/>
      <c r="E135" s="6"/>
      <c r="F135" s="6"/>
      <c r="G135" s="6"/>
      <c r="H135" s="6"/>
      <c r="I135" s="6"/>
      <c r="J135" s="6"/>
    </row>
    <row r="136" spans="4:10" ht="15">
      <c r="D136" s="6"/>
      <c r="E136" s="6"/>
      <c r="F136" s="6"/>
      <c r="G136" s="6"/>
      <c r="H136" s="6"/>
      <c r="I136" s="6"/>
      <c r="J136" s="6"/>
    </row>
    <row r="137" spans="4:10" ht="15">
      <c r="D137" s="6"/>
      <c r="E137" s="6"/>
      <c r="F137" s="6"/>
      <c r="G137" s="6"/>
      <c r="H137" s="6"/>
      <c r="I137" s="6"/>
      <c r="J137" s="6"/>
    </row>
    <row r="138" spans="4:10" ht="15">
      <c r="D138" s="6"/>
      <c r="E138" s="6"/>
      <c r="F138" s="6"/>
      <c r="G138" s="6"/>
      <c r="H138" s="6"/>
      <c r="I138" s="6"/>
      <c r="J138" s="6"/>
    </row>
    <row r="139" spans="4:10" ht="15">
      <c r="D139" s="6"/>
      <c r="E139" s="6"/>
      <c r="F139" s="6"/>
      <c r="G139" s="6"/>
      <c r="H139" s="6"/>
      <c r="I139" s="6"/>
      <c r="J139" s="6"/>
    </row>
    <row r="140" spans="4:10" ht="15">
      <c r="D140" s="6"/>
      <c r="E140" s="6"/>
      <c r="F140" s="6"/>
      <c r="G140" s="6"/>
      <c r="H140" s="6"/>
      <c r="I140" s="6"/>
      <c r="J140" s="6"/>
    </row>
    <row r="141" spans="4:10" ht="15">
      <c r="D141" s="6"/>
      <c r="E141" s="6"/>
      <c r="F141" s="6"/>
      <c r="G141" s="6"/>
      <c r="H141" s="6"/>
      <c r="I141" s="6"/>
      <c r="J141" s="6"/>
    </row>
    <row r="142" spans="4:10" ht="15">
      <c r="D142" s="6"/>
      <c r="E142" s="6"/>
      <c r="F142" s="6"/>
      <c r="G142" s="6"/>
      <c r="H142" s="6"/>
      <c r="I142" s="6"/>
      <c r="J142" s="6"/>
    </row>
    <row r="143" spans="4:10" ht="15">
      <c r="D143" s="6"/>
      <c r="E143" s="6"/>
      <c r="F143" s="6"/>
      <c r="G143" s="6"/>
      <c r="H143" s="6"/>
      <c r="I143" s="6"/>
      <c r="J143" s="6"/>
    </row>
    <row r="144" spans="4:10" ht="15">
      <c r="D144" s="6"/>
      <c r="E144" s="6"/>
      <c r="F144" s="6"/>
      <c r="G144" s="6"/>
      <c r="H144" s="6"/>
      <c r="I144" s="6"/>
      <c r="J144" s="6"/>
    </row>
    <row r="145" spans="4:10" ht="15">
      <c r="D145" s="6"/>
      <c r="E145" s="6"/>
      <c r="F145" s="6"/>
      <c r="G145" s="6"/>
      <c r="H145" s="6"/>
      <c r="I145" s="6"/>
      <c r="J145" s="6"/>
    </row>
    <row r="146" spans="4:10" ht="15">
      <c r="D146" s="6"/>
      <c r="E146" s="6"/>
      <c r="F146" s="6"/>
      <c r="G146" s="6"/>
      <c r="H146" s="6"/>
      <c r="I146" s="6"/>
      <c r="J146" s="6"/>
    </row>
    <row r="147" spans="4:10" ht="15">
      <c r="D147" s="6"/>
      <c r="E147" s="6"/>
      <c r="F147" s="6"/>
      <c r="G147" s="6"/>
      <c r="H147" s="6"/>
      <c r="I147" s="6"/>
      <c r="J147" s="6"/>
    </row>
    <row r="148" spans="4:10" ht="15">
      <c r="D148" s="6"/>
      <c r="E148" s="6"/>
      <c r="F148" s="6"/>
      <c r="G148" s="6"/>
      <c r="H148" s="6"/>
      <c r="I148" s="6"/>
      <c r="J148" s="6"/>
    </row>
    <row r="149" spans="4:10" ht="15">
      <c r="D149" s="6"/>
      <c r="E149" s="6"/>
      <c r="F149" s="6"/>
      <c r="G149" s="6"/>
      <c r="H149" s="6"/>
      <c r="I149" s="6"/>
      <c r="J149" s="6"/>
    </row>
    <row r="150" spans="4:10" ht="15">
      <c r="D150" s="6"/>
      <c r="E150" s="6"/>
      <c r="F150" s="6"/>
      <c r="G150" s="6"/>
      <c r="H150" s="6"/>
      <c r="I150" s="6"/>
      <c r="J150" s="6"/>
    </row>
    <row r="151" spans="4:10" ht="15">
      <c r="D151" s="6"/>
      <c r="E151" s="6"/>
      <c r="F151" s="6"/>
      <c r="G151" s="6"/>
      <c r="H151" s="6"/>
      <c r="I151" s="6"/>
      <c r="J151" s="6"/>
    </row>
    <row r="152" spans="4:10" ht="15">
      <c r="D152" s="6"/>
      <c r="E152" s="6"/>
      <c r="F152" s="6"/>
      <c r="G152" s="6"/>
      <c r="H152" s="6"/>
      <c r="I152" s="6"/>
      <c r="J152" s="6"/>
    </row>
    <row r="153" spans="4:10" ht="15">
      <c r="D153" s="6"/>
      <c r="E153" s="6"/>
      <c r="F153" s="6"/>
      <c r="G153" s="6"/>
      <c r="H153" s="6"/>
      <c r="I153" s="6"/>
      <c r="J153" s="6"/>
    </row>
  </sheetData>
  <sheetProtection/>
  <mergeCells count="135">
    <mergeCell ref="J50:J51"/>
    <mergeCell ref="J52:J53"/>
    <mergeCell ref="J71:J72"/>
    <mergeCell ref="J95:J96"/>
    <mergeCell ref="J90:J91"/>
    <mergeCell ref="M107:M111"/>
    <mergeCell ref="K107:K111"/>
    <mergeCell ref="N107:N111"/>
    <mergeCell ref="O107:O111"/>
    <mergeCell ref="P107:P111"/>
    <mergeCell ref="A92:A93"/>
    <mergeCell ref="B92:B93"/>
    <mergeCell ref="C92:C93"/>
    <mergeCell ref="D92:D93"/>
    <mergeCell ref="E92:E93"/>
    <mergeCell ref="A95:A96"/>
    <mergeCell ref="B95:B96"/>
    <mergeCell ref="D95:D96"/>
    <mergeCell ref="E95:E96"/>
    <mergeCell ref="A79:A81"/>
    <mergeCell ref="B79:B81"/>
    <mergeCell ref="C79:C81"/>
    <mergeCell ref="D79:D81"/>
    <mergeCell ref="E79:E81"/>
    <mergeCell ref="A90:A91"/>
    <mergeCell ref="E90:E91"/>
    <mergeCell ref="A71:A72"/>
    <mergeCell ref="B71:B72"/>
    <mergeCell ref="C71:C72"/>
    <mergeCell ref="D71:D72"/>
    <mergeCell ref="E71:E72"/>
    <mergeCell ref="A75:A76"/>
    <mergeCell ref="B75:B76"/>
    <mergeCell ref="C75:C76"/>
    <mergeCell ref="D75:D76"/>
    <mergeCell ref="E75:E76"/>
    <mergeCell ref="A50:A51"/>
    <mergeCell ref="B50:B51"/>
    <mergeCell ref="C50:C51"/>
    <mergeCell ref="D50:D51"/>
    <mergeCell ref="E50:E51"/>
    <mergeCell ref="A52:A53"/>
    <mergeCell ref="E52:E53"/>
    <mergeCell ref="F47:F49"/>
    <mergeCell ref="F50:F51"/>
    <mergeCell ref="F52:F53"/>
    <mergeCell ref="B52:B53"/>
    <mergeCell ref="C52:C53"/>
    <mergeCell ref="D52:D53"/>
    <mergeCell ref="P33:P34"/>
    <mergeCell ref="B47:B49"/>
    <mergeCell ref="C47:C49"/>
    <mergeCell ref="D47:D49"/>
    <mergeCell ref="E47:E49"/>
    <mergeCell ref="M33:M34"/>
    <mergeCell ref="G47:G49"/>
    <mergeCell ref="H47:H49"/>
    <mergeCell ref="I47:I49"/>
    <mergeCell ref="J47:J49"/>
    <mergeCell ref="A47:A49"/>
    <mergeCell ref="C107:C111"/>
    <mergeCell ref="M13:P15"/>
    <mergeCell ref="M18:P27"/>
    <mergeCell ref="M30:M31"/>
    <mergeCell ref="N30:N31"/>
    <mergeCell ref="O30:O31"/>
    <mergeCell ref="P30:P31"/>
    <mergeCell ref="L30:L31"/>
    <mergeCell ref="L33:L34"/>
    <mergeCell ref="P7:P8"/>
    <mergeCell ref="C121:D121"/>
    <mergeCell ref="B2:P2"/>
    <mergeCell ref="B3:P3"/>
    <mergeCell ref="B4:P4"/>
    <mergeCell ref="B5:P5"/>
    <mergeCell ref="B7:B8"/>
    <mergeCell ref="C7:C8"/>
    <mergeCell ref="D7:E7"/>
    <mergeCell ref="K7:K8"/>
    <mergeCell ref="A107:A111"/>
    <mergeCell ref="K13:K15"/>
    <mergeCell ref="K16:K27"/>
    <mergeCell ref="M7:M8"/>
    <mergeCell ref="K75:K76"/>
    <mergeCell ref="K79:K81"/>
    <mergeCell ref="K90:K91"/>
    <mergeCell ref="K92:K93"/>
    <mergeCell ref="K95:K96"/>
    <mergeCell ref="F92:F93"/>
    <mergeCell ref="N7:N8"/>
    <mergeCell ref="O7:O8"/>
    <mergeCell ref="K47:K49"/>
    <mergeCell ref="K50:K51"/>
    <mergeCell ref="K52:K53"/>
    <mergeCell ref="K71:K72"/>
    <mergeCell ref="L7:L8"/>
    <mergeCell ref="N33:N34"/>
    <mergeCell ref="O33:O34"/>
    <mergeCell ref="F90:F91"/>
    <mergeCell ref="B103:B118"/>
    <mergeCell ref="H90:H91"/>
    <mergeCell ref="H92:H93"/>
    <mergeCell ref="H95:H96"/>
    <mergeCell ref="F95:F96"/>
    <mergeCell ref="B90:B91"/>
    <mergeCell ref="C90:C91"/>
    <mergeCell ref="D90:D91"/>
    <mergeCell ref="C95:C96"/>
    <mergeCell ref="K112:K113"/>
    <mergeCell ref="M112:M113"/>
    <mergeCell ref="N112:N113"/>
    <mergeCell ref="G95:G96"/>
    <mergeCell ref="G50:G51"/>
    <mergeCell ref="G52:G53"/>
    <mergeCell ref="G71:G72"/>
    <mergeCell ref="G75:G76"/>
    <mergeCell ref="G90:G91"/>
    <mergeCell ref="G92:G93"/>
    <mergeCell ref="H50:H51"/>
    <mergeCell ref="H52:H53"/>
    <mergeCell ref="H71:H72"/>
    <mergeCell ref="H75:H76"/>
    <mergeCell ref="H79:H81"/>
    <mergeCell ref="F79:F81"/>
    <mergeCell ref="G79:G81"/>
    <mergeCell ref="F71:F72"/>
    <mergeCell ref="F75:F76"/>
    <mergeCell ref="I92:I93"/>
    <mergeCell ref="I95:I96"/>
    <mergeCell ref="I50:I51"/>
    <mergeCell ref="I52:I53"/>
    <mergeCell ref="I71:I72"/>
    <mergeCell ref="I75:I76"/>
    <mergeCell ref="I79:I81"/>
    <mergeCell ref="I90:I9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tabSelected="1"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32" sqref="S132:S133"/>
    </sheetView>
  </sheetViews>
  <sheetFormatPr defaultColWidth="9.140625" defaultRowHeight="15" outlineLevelCol="1"/>
  <cols>
    <col min="1" max="1" width="8.8515625" style="6" customWidth="1"/>
    <col min="2" max="2" width="40.00390625" style="0" customWidth="1"/>
    <col min="3" max="3" width="11.28125" style="0" customWidth="1"/>
    <col min="4" max="4" width="14.7109375" style="0" customWidth="1"/>
    <col min="5" max="7" width="14.140625" style="0" customWidth="1"/>
    <col min="8" max="17" width="14.140625" style="0" hidden="1" customWidth="1" outlineLevel="1"/>
    <col min="18" max="18" width="14.140625" style="0" customWidth="1" collapsed="1"/>
    <col min="19" max="19" width="39.421875" style="0" customWidth="1"/>
    <col min="20" max="20" width="32.140625" style="29" customWidth="1"/>
    <col min="21" max="21" width="14.00390625" style="281" customWidth="1"/>
    <col min="22" max="22" width="12.57421875" style="30" customWidth="1"/>
    <col min="23" max="23" width="15.140625" style="30" customWidth="1"/>
    <col min="24" max="24" width="16.421875" style="94" customWidth="1"/>
    <col min="25" max="25" width="8.8515625" style="30" customWidth="1"/>
  </cols>
  <sheetData>
    <row r="1" spans="19:24" ht="15">
      <c r="S1" s="2"/>
      <c r="X1" s="83"/>
    </row>
    <row r="2" spans="2:24" ht="18.75">
      <c r="B2" s="381" t="s">
        <v>342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</row>
    <row r="3" spans="2:24" ht="18.75">
      <c r="B3" s="382" t="s">
        <v>289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2:24" ht="15">
      <c r="B4" s="383" t="s">
        <v>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</row>
    <row r="5" spans="2:24" ht="18.75" customHeight="1">
      <c r="B5" s="384" t="s">
        <v>343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</row>
    <row r="6" spans="2:24" ht="19.5" thickBot="1">
      <c r="B6" s="192"/>
      <c r="C6" s="192"/>
      <c r="D6" s="192"/>
      <c r="E6" s="217"/>
      <c r="F6" s="217"/>
      <c r="G6" s="320"/>
      <c r="H6" s="192"/>
      <c r="I6" s="192"/>
      <c r="J6" s="192"/>
      <c r="K6" s="192"/>
      <c r="L6" s="208"/>
      <c r="M6" s="217"/>
      <c r="N6" s="228"/>
      <c r="O6" s="236"/>
      <c r="P6" s="243"/>
      <c r="Q6" s="268"/>
      <c r="R6" s="326"/>
      <c r="S6" s="192"/>
      <c r="T6" s="26"/>
      <c r="U6" s="280"/>
      <c r="V6" s="192"/>
      <c r="W6" s="192"/>
      <c r="X6" s="84"/>
    </row>
    <row r="7" spans="1:25" s="8" customFormat="1" ht="15" customHeight="1">
      <c r="A7" s="43"/>
      <c r="B7" s="484" t="s">
        <v>1</v>
      </c>
      <c r="C7" s="484" t="s">
        <v>2</v>
      </c>
      <c r="D7" s="193" t="s">
        <v>3</v>
      </c>
      <c r="E7" s="218"/>
      <c r="F7" s="218"/>
      <c r="G7" s="321"/>
      <c r="H7" s="193"/>
      <c r="I7" s="193"/>
      <c r="J7" s="193"/>
      <c r="K7" s="193"/>
      <c r="L7" s="209"/>
      <c r="M7" s="220"/>
      <c r="N7" s="230"/>
      <c r="O7" s="237"/>
      <c r="P7" s="244"/>
      <c r="Q7" s="272"/>
      <c r="R7" s="327"/>
      <c r="S7" s="486" t="s">
        <v>4</v>
      </c>
      <c r="T7" s="488" t="s">
        <v>5</v>
      </c>
      <c r="U7" s="478" t="s">
        <v>170</v>
      </c>
      <c r="V7" s="358" t="s">
        <v>171</v>
      </c>
      <c r="W7" s="358" t="s">
        <v>172</v>
      </c>
      <c r="X7" s="490" t="s">
        <v>193</v>
      </c>
      <c r="Y7" s="179"/>
    </row>
    <row r="8" spans="1:25" s="8" customFormat="1" ht="76.5" customHeight="1" thickBot="1">
      <c r="A8" s="44"/>
      <c r="B8" s="485"/>
      <c r="C8" s="485"/>
      <c r="D8" s="194" t="s">
        <v>449</v>
      </c>
      <c r="E8" s="219" t="s">
        <v>348</v>
      </c>
      <c r="F8" s="219" t="s">
        <v>438</v>
      </c>
      <c r="G8" s="322" t="s">
        <v>439</v>
      </c>
      <c r="H8" s="194" t="s">
        <v>344</v>
      </c>
      <c r="I8" s="194" t="s">
        <v>345</v>
      </c>
      <c r="J8" s="194" t="s">
        <v>346</v>
      </c>
      <c r="K8" s="194" t="s">
        <v>347</v>
      </c>
      <c r="L8" s="221" t="s">
        <v>349</v>
      </c>
      <c r="M8" s="221" t="s">
        <v>350</v>
      </c>
      <c r="N8" s="221" t="s">
        <v>351</v>
      </c>
      <c r="O8" s="221" t="s">
        <v>352</v>
      </c>
      <c r="P8" s="221" t="s">
        <v>353</v>
      </c>
      <c r="Q8" s="221" t="s">
        <v>437</v>
      </c>
      <c r="R8" s="328" t="s">
        <v>440</v>
      </c>
      <c r="S8" s="487"/>
      <c r="T8" s="489"/>
      <c r="U8" s="479"/>
      <c r="V8" s="480"/>
      <c r="W8" s="480"/>
      <c r="X8" s="491"/>
      <c r="Y8" s="179"/>
    </row>
    <row r="9" spans="1:25" s="8" customFormat="1" ht="1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331"/>
      <c r="S9" s="46"/>
      <c r="T9" s="47"/>
      <c r="U9" s="282"/>
      <c r="V9" s="48"/>
      <c r="W9" s="48"/>
      <c r="X9" s="85"/>
      <c r="Y9" s="179"/>
    </row>
    <row r="10" spans="1:25" s="8" customFormat="1" ht="15">
      <c r="A10" s="49">
        <v>1</v>
      </c>
      <c r="B10" s="50" t="s">
        <v>8</v>
      </c>
      <c r="C10" s="181">
        <f>C13+C12+C14+C15</f>
        <v>0</v>
      </c>
      <c r="D10" s="202">
        <f aca="true" t="shared" si="0" ref="D10:L10">SUM(D12:D15)</f>
        <v>68592.45</v>
      </c>
      <c r="E10" s="202">
        <f>SUM(E12:E15)</f>
        <v>17595.15</v>
      </c>
      <c r="F10" s="202">
        <f>SUM(F12:F15)</f>
        <v>16051.499999999998</v>
      </c>
      <c r="G10" s="202">
        <f>SUM(G12:G15)</f>
        <v>16582.399999999998</v>
      </c>
      <c r="H10" s="202">
        <f t="shared" si="0"/>
        <v>107.30000000000001</v>
      </c>
      <c r="I10" s="202">
        <f t="shared" si="0"/>
        <v>4106</v>
      </c>
      <c r="J10" s="202">
        <f t="shared" si="0"/>
        <v>8836.800000000001</v>
      </c>
      <c r="K10" s="202">
        <f t="shared" si="0"/>
        <v>1723.4499999999998</v>
      </c>
      <c r="L10" s="202">
        <f t="shared" si="0"/>
        <v>2821.6</v>
      </c>
      <c r="M10" s="202">
        <f>SUM(M11:M15)</f>
        <v>65.8</v>
      </c>
      <c r="N10" s="202">
        <f>SUM(N12:N15)</f>
        <v>2525.7999999999997</v>
      </c>
      <c r="O10" s="202">
        <f>SUM(O11:O15)</f>
        <v>3053.2999999999993</v>
      </c>
      <c r="P10" s="202">
        <f>SUM(P11:P15)</f>
        <v>7387.1</v>
      </c>
      <c r="Q10" s="202">
        <f>SUM(Q11:Q15)</f>
        <v>3019.5</v>
      </c>
      <c r="R10" s="202">
        <f>SUM(R12:R15)</f>
        <v>18363.399999999998</v>
      </c>
      <c r="S10" s="196"/>
      <c r="T10" s="52" t="s">
        <v>8</v>
      </c>
      <c r="U10" s="283"/>
      <c r="V10" s="198"/>
      <c r="W10" s="198"/>
      <c r="X10" s="86"/>
      <c r="Y10" s="179"/>
    </row>
    <row r="11" spans="1:25" s="8" customFormat="1" ht="15">
      <c r="A11" s="178"/>
      <c r="B11" s="197" t="s">
        <v>9</v>
      </c>
      <c r="C11" s="17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196"/>
      <c r="T11" s="53" t="s">
        <v>9</v>
      </c>
      <c r="U11" s="283"/>
      <c r="V11" s="198"/>
      <c r="W11" s="198"/>
      <c r="X11" s="86"/>
      <c r="Y11" s="179"/>
    </row>
    <row r="12" spans="1:25" s="8" customFormat="1" ht="15">
      <c r="A12" s="178" t="s">
        <v>10</v>
      </c>
      <c r="B12" s="195" t="s">
        <v>162</v>
      </c>
      <c r="C12" s="17" t="s">
        <v>341</v>
      </c>
      <c r="D12" s="201">
        <f>E12+F12+G12+R12</f>
        <v>47786.4</v>
      </c>
      <c r="E12" s="201">
        <f>I12+J12+L12+K12+H12</f>
        <v>11740.699999999999</v>
      </c>
      <c r="F12" s="201">
        <f>M12+N12+O12+P12+Q12</f>
        <v>11229.8</v>
      </c>
      <c r="G12" s="201">
        <v>12051</v>
      </c>
      <c r="H12" s="201">
        <v>75.9</v>
      </c>
      <c r="I12" s="201">
        <v>2901.8</v>
      </c>
      <c r="J12" s="201">
        <v>7713</v>
      </c>
      <c r="K12" s="201">
        <v>954.8</v>
      </c>
      <c r="L12" s="201">
        <v>95.2</v>
      </c>
      <c r="M12" s="201">
        <v>46.5</v>
      </c>
      <c r="N12" s="201">
        <v>2067.6</v>
      </c>
      <c r="O12" s="201">
        <v>2861.7</v>
      </c>
      <c r="P12" s="201">
        <v>6180.4</v>
      </c>
      <c r="Q12" s="201">
        <v>73.6</v>
      </c>
      <c r="R12" s="201">
        <v>12764.9</v>
      </c>
      <c r="S12" s="54" t="s">
        <v>165</v>
      </c>
      <c r="T12" s="55" t="s">
        <v>162</v>
      </c>
      <c r="U12" s="284" t="s">
        <v>269</v>
      </c>
      <c r="V12" s="42">
        <v>37154</v>
      </c>
      <c r="W12" s="198"/>
      <c r="X12" s="86"/>
      <c r="Y12" s="179"/>
    </row>
    <row r="13" spans="1:25" s="8" customFormat="1" ht="15" customHeight="1">
      <c r="A13" s="178" t="s">
        <v>11</v>
      </c>
      <c r="B13" s="195" t="s">
        <v>12</v>
      </c>
      <c r="C13" s="17" t="s">
        <v>341</v>
      </c>
      <c r="D13" s="201">
        <f>E13+F13+G13+R13</f>
        <v>12454.8</v>
      </c>
      <c r="E13" s="201">
        <f>I13+J13+L13+K13+H13</f>
        <v>3429.0000000000005</v>
      </c>
      <c r="F13" s="201">
        <f>M13+N13+O13+P13+Q13</f>
        <v>3556</v>
      </c>
      <c r="G13" s="201">
        <v>2362.3</v>
      </c>
      <c r="H13" s="201">
        <v>17.4</v>
      </c>
      <c r="I13" s="201">
        <v>667.4</v>
      </c>
      <c r="J13" s="201">
        <v>27.5</v>
      </c>
      <c r="K13" s="201">
        <v>7.9</v>
      </c>
      <c r="L13" s="201">
        <v>2708.8</v>
      </c>
      <c r="M13" s="201">
        <v>10.7</v>
      </c>
      <c r="N13" s="201">
        <v>254</v>
      </c>
      <c r="O13" s="201">
        <v>106.2</v>
      </c>
      <c r="P13" s="201">
        <v>252.8</v>
      </c>
      <c r="Q13" s="201">
        <v>2932.3</v>
      </c>
      <c r="R13" s="201">
        <v>3107.5</v>
      </c>
      <c r="S13" s="343" t="s">
        <v>166</v>
      </c>
      <c r="T13" s="55" t="s">
        <v>12</v>
      </c>
      <c r="U13" s="395" t="s">
        <v>270</v>
      </c>
      <c r="V13" s="396"/>
      <c r="W13" s="396"/>
      <c r="X13" s="397"/>
      <c r="Y13" s="179"/>
    </row>
    <row r="14" spans="1:25" s="8" customFormat="1" ht="15">
      <c r="A14" s="178" t="s">
        <v>13</v>
      </c>
      <c r="B14" s="195" t="s">
        <v>14</v>
      </c>
      <c r="C14" s="17" t="s">
        <v>341</v>
      </c>
      <c r="D14" s="201">
        <f>E14+F14+G14+R14</f>
        <v>3546.7000000000003</v>
      </c>
      <c r="E14" s="201">
        <f>I14+J14+L14+K14+H14</f>
        <v>969.2</v>
      </c>
      <c r="F14" s="201">
        <f>M14+N14+O14+P14+Q14</f>
        <v>851.8000000000001</v>
      </c>
      <c r="G14" s="201">
        <v>1266.9</v>
      </c>
      <c r="H14" s="201">
        <v>4.5</v>
      </c>
      <c r="I14" s="201">
        <v>174.1</v>
      </c>
      <c r="J14" s="201">
        <v>131.6</v>
      </c>
      <c r="K14" s="201">
        <v>641.4</v>
      </c>
      <c r="L14" s="201">
        <v>17.6</v>
      </c>
      <c r="M14" s="201">
        <v>2.8</v>
      </c>
      <c r="N14" s="201">
        <v>66.2</v>
      </c>
      <c r="O14" s="201">
        <v>27.7</v>
      </c>
      <c r="P14" s="201">
        <v>748.6</v>
      </c>
      <c r="Q14" s="201">
        <v>6.5</v>
      </c>
      <c r="R14" s="201">
        <v>458.8</v>
      </c>
      <c r="S14" s="345"/>
      <c r="T14" s="55" t="s">
        <v>14</v>
      </c>
      <c r="U14" s="398"/>
      <c r="V14" s="481"/>
      <c r="W14" s="481"/>
      <c r="X14" s="400"/>
      <c r="Y14" s="179"/>
    </row>
    <row r="15" spans="1:25" s="8" customFormat="1" ht="15">
      <c r="A15" s="178" t="s">
        <v>15</v>
      </c>
      <c r="B15" s="195" t="s">
        <v>16</v>
      </c>
      <c r="C15" s="17" t="s">
        <v>341</v>
      </c>
      <c r="D15" s="201">
        <f>E15+F15+G15+R15</f>
        <v>4804.55</v>
      </c>
      <c r="E15" s="201">
        <f>I15+J15+L15+K15+H15</f>
        <v>1456.25</v>
      </c>
      <c r="F15" s="201">
        <f>M15+N15+O15+P15+Q15</f>
        <v>413.90000000000003</v>
      </c>
      <c r="G15" s="201">
        <v>902.2</v>
      </c>
      <c r="H15" s="201">
        <v>9.5</v>
      </c>
      <c r="I15" s="201">
        <v>362.7</v>
      </c>
      <c r="J15" s="201">
        <v>964.7</v>
      </c>
      <c r="K15" s="201">
        <v>119.35</v>
      </c>
      <c r="L15" s="222">
        <v>0</v>
      </c>
      <c r="M15" s="201">
        <v>5.8</v>
      </c>
      <c r="N15" s="222">
        <v>138</v>
      </c>
      <c r="O15" s="201">
        <v>57.7</v>
      </c>
      <c r="P15" s="201">
        <v>205.3</v>
      </c>
      <c r="Q15" s="201">
        <v>7.1</v>
      </c>
      <c r="R15" s="201">
        <v>2032.2</v>
      </c>
      <c r="S15" s="344"/>
      <c r="T15" s="55" t="s">
        <v>16</v>
      </c>
      <c r="U15" s="401"/>
      <c r="V15" s="402"/>
      <c r="W15" s="402"/>
      <c r="X15" s="403"/>
      <c r="Y15" s="179"/>
    </row>
    <row r="16" spans="1:25" s="78" customFormat="1" ht="15">
      <c r="A16" s="49" t="s">
        <v>26</v>
      </c>
      <c r="B16" s="50" t="s">
        <v>17</v>
      </c>
      <c r="C16" s="180">
        <f>C18+C19+C20+C21+C22+C23+C24+C25+C26+C27</f>
        <v>0</v>
      </c>
      <c r="D16" s="180">
        <f>D18+D19+D20+D21+D22+D23+D24+D25+D26+D27</f>
        <v>12783.400000000001</v>
      </c>
      <c r="E16" s="180">
        <f>E18+E19+E20+E21+E22+E23+E24+E25+E26+E27</f>
        <v>1370.1</v>
      </c>
      <c r="F16" s="180">
        <f>SUM(F18:F27)</f>
        <v>3848.4000000000005</v>
      </c>
      <c r="G16" s="180">
        <f>SUM(G18:G27)</f>
        <v>3633.2</v>
      </c>
      <c r="H16" s="180">
        <f>H18+H19+H20+H21+H22+H23+H24+H25+H26+H27</f>
        <v>0</v>
      </c>
      <c r="I16" s="180">
        <f>SUM(I18:I27)</f>
        <v>350</v>
      </c>
      <c r="J16" s="180">
        <f>SUM(J18:J27)</f>
        <v>20.1</v>
      </c>
      <c r="K16" s="180">
        <f>SUM(K18:K27)</f>
        <v>0</v>
      </c>
      <c r="L16" s="180">
        <f>SUM(L18:L27)</f>
        <v>1000</v>
      </c>
      <c r="M16" s="231">
        <f>SUM(M17:M27)</f>
        <v>600</v>
      </c>
      <c r="N16" s="231">
        <f>SUM(N18:N27)</f>
        <v>560.4</v>
      </c>
      <c r="O16" s="180">
        <f>SUM(O18:O27)</f>
        <v>365.2</v>
      </c>
      <c r="P16" s="180">
        <f>SUM(P18:P27)</f>
        <v>1222.8</v>
      </c>
      <c r="Q16" s="180">
        <f>SUM(Q18:Q27)</f>
        <v>1100</v>
      </c>
      <c r="R16" s="202">
        <f>SUM(R18:R27)</f>
        <v>3931.7</v>
      </c>
      <c r="S16" s="343" t="s">
        <v>166</v>
      </c>
      <c r="T16" s="52" t="s">
        <v>17</v>
      </c>
      <c r="U16" s="285"/>
      <c r="V16" s="76"/>
      <c r="W16" s="76"/>
      <c r="X16" s="87"/>
      <c r="Y16" s="77"/>
    </row>
    <row r="17" spans="1:25" s="8" customFormat="1" ht="15">
      <c r="A17" s="57"/>
      <c r="B17" s="197" t="s">
        <v>9</v>
      </c>
      <c r="C17" s="186"/>
      <c r="D17" s="186"/>
      <c r="E17" s="215"/>
      <c r="F17" s="215"/>
      <c r="G17" s="317"/>
      <c r="H17" s="186"/>
      <c r="I17" s="186"/>
      <c r="J17" s="186"/>
      <c r="K17" s="186"/>
      <c r="L17" s="206"/>
      <c r="M17" s="215"/>
      <c r="N17" s="224"/>
      <c r="O17" s="234"/>
      <c r="P17" s="241"/>
      <c r="Q17" s="263"/>
      <c r="R17" s="332"/>
      <c r="S17" s="345"/>
      <c r="T17" s="53" t="s">
        <v>9</v>
      </c>
      <c r="U17" s="283"/>
      <c r="V17" s="198"/>
      <c r="W17" s="198"/>
      <c r="X17" s="86"/>
      <c r="Y17" s="179"/>
    </row>
    <row r="18" spans="1:25" s="8" customFormat="1" ht="15" customHeight="1">
      <c r="A18" s="178" t="s">
        <v>27</v>
      </c>
      <c r="B18" s="195" t="s">
        <v>18</v>
      </c>
      <c r="C18" s="186">
        <v>0</v>
      </c>
      <c r="D18" s="332">
        <f>E18+F18+G18+R18</f>
        <v>4593.5</v>
      </c>
      <c r="E18" s="215">
        <f>I18+J18+K18+L18</f>
        <v>150</v>
      </c>
      <c r="F18" s="215">
        <f aca="true" t="shared" si="1" ref="F18:F27">M18+N18+O18+P18+Q18</f>
        <v>1936.7</v>
      </c>
      <c r="G18" s="317">
        <v>1806.8</v>
      </c>
      <c r="H18" s="186">
        <v>0</v>
      </c>
      <c r="I18" s="186">
        <v>150</v>
      </c>
      <c r="J18" s="186">
        <v>0</v>
      </c>
      <c r="K18" s="186">
        <v>0</v>
      </c>
      <c r="L18" s="205">
        <v>0</v>
      </c>
      <c r="M18" s="215">
        <v>200</v>
      </c>
      <c r="N18" s="224">
        <v>0</v>
      </c>
      <c r="O18" s="234">
        <v>205.2</v>
      </c>
      <c r="P18" s="241">
        <v>431.5</v>
      </c>
      <c r="Q18" s="263">
        <v>1100</v>
      </c>
      <c r="R18" s="332">
        <v>700</v>
      </c>
      <c r="S18" s="345"/>
      <c r="T18" s="55" t="s">
        <v>18</v>
      </c>
      <c r="U18" s="395" t="s">
        <v>270</v>
      </c>
      <c r="V18" s="396"/>
      <c r="W18" s="396"/>
      <c r="X18" s="397"/>
      <c r="Y18" s="179"/>
    </row>
    <row r="19" spans="1:25" s="8" customFormat="1" ht="15">
      <c r="A19" s="178" t="s">
        <v>28</v>
      </c>
      <c r="B19" s="58" t="s">
        <v>19</v>
      </c>
      <c r="C19" s="186">
        <v>0</v>
      </c>
      <c r="D19" s="317">
        <f aca="true" t="shared" si="2" ref="D19:D27">E19+F19+G19</f>
        <v>26.200000000000003</v>
      </c>
      <c r="E19" s="215">
        <f aca="true" t="shared" si="3" ref="E19:E27">I19+J19+K19+L19</f>
        <v>0</v>
      </c>
      <c r="F19" s="263">
        <f t="shared" si="1"/>
        <v>15.4</v>
      </c>
      <c r="G19" s="317">
        <v>10.8</v>
      </c>
      <c r="H19" s="186">
        <v>0</v>
      </c>
      <c r="I19" s="186">
        <v>0</v>
      </c>
      <c r="J19" s="186">
        <v>0</v>
      </c>
      <c r="K19" s="186">
        <v>0</v>
      </c>
      <c r="L19" s="205">
        <v>0</v>
      </c>
      <c r="M19" s="215">
        <v>0</v>
      </c>
      <c r="N19" s="224">
        <v>0</v>
      </c>
      <c r="O19" s="234">
        <v>15.4</v>
      </c>
      <c r="P19" s="241"/>
      <c r="Q19" s="263">
        <v>0</v>
      </c>
      <c r="R19" s="332"/>
      <c r="S19" s="345"/>
      <c r="T19" s="55" t="s">
        <v>19</v>
      </c>
      <c r="U19" s="398"/>
      <c r="V19" s="481"/>
      <c r="W19" s="481"/>
      <c r="X19" s="400"/>
      <c r="Y19" s="179"/>
    </row>
    <row r="20" spans="1:25" s="8" customFormat="1" ht="15">
      <c r="A20" s="178" t="s">
        <v>29</v>
      </c>
      <c r="B20" s="195" t="s">
        <v>20</v>
      </c>
      <c r="C20" s="186">
        <v>0</v>
      </c>
      <c r="D20" s="332">
        <f>E20+F20+G20+R20</f>
        <v>6273</v>
      </c>
      <c r="E20" s="215">
        <f t="shared" si="3"/>
        <v>1200</v>
      </c>
      <c r="F20" s="263">
        <f t="shared" si="1"/>
        <v>400</v>
      </c>
      <c r="G20" s="317">
        <v>1773</v>
      </c>
      <c r="H20" s="186">
        <v>0</v>
      </c>
      <c r="I20" s="186">
        <v>200</v>
      </c>
      <c r="J20" s="186">
        <v>0</v>
      </c>
      <c r="K20" s="186">
        <v>0</v>
      </c>
      <c r="L20" s="205">
        <v>1000</v>
      </c>
      <c r="M20" s="215">
        <v>400</v>
      </c>
      <c r="N20" s="224">
        <v>0</v>
      </c>
      <c r="O20" s="234"/>
      <c r="P20" s="241"/>
      <c r="Q20" s="263">
        <v>0</v>
      </c>
      <c r="R20" s="332">
        <v>2900</v>
      </c>
      <c r="S20" s="345"/>
      <c r="T20" s="55" t="s">
        <v>20</v>
      </c>
      <c r="U20" s="398"/>
      <c r="V20" s="481"/>
      <c r="W20" s="481"/>
      <c r="X20" s="400"/>
      <c r="Y20" s="179"/>
    </row>
    <row r="21" spans="1:25" s="8" customFormat="1" ht="15">
      <c r="A21" s="178" t="s">
        <v>30</v>
      </c>
      <c r="B21" s="195" t="s">
        <v>21</v>
      </c>
      <c r="C21" s="186">
        <v>0</v>
      </c>
      <c r="D21" s="317">
        <f t="shared" si="2"/>
        <v>1433.6</v>
      </c>
      <c r="E21" s="215">
        <f t="shared" si="3"/>
        <v>0</v>
      </c>
      <c r="F21" s="263">
        <f t="shared" si="1"/>
        <v>1433.6</v>
      </c>
      <c r="G21" s="317"/>
      <c r="H21" s="186">
        <v>0</v>
      </c>
      <c r="I21" s="186">
        <v>0</v>
      </c>
      <c r="J21" s="186">
        <v>0</v>
      </c>
      <c r="K21" s="186">
        <v>0</v>
      </c>
      <c r="L21" s="205">
        <v>0</v>
      </c>
      <c r="M21" s="215">
        <v>0</v>
      </c>
      <c r="N21" s="224">
        <v>506.7</v>
      </c>
      <c r="O21" s="234">
        <v>144.6</v>
      </c>
      <c r="P21" s="241">
        <v>782.3</v>
      </c>
      <c r="Q21" s="263">
        <v>0</v>
      </c>
      <c r="R21" s="332"/>
      <c r="S21" s="345"/>
      <c r="T21" s="55" t="s">
        <v>21</v>
      </c>
      <c r="U21" s="398"/>
      <c r="V21" s="481"/>
      <c r="W21" s="481"/>
      <c r="X21" s="400"/>
      <c r="Y21" s="179"/>
    </row>
    <row r="22" spans="1:25" s="8" customFormat="1" ht="15">
      <c r="A22" s="178" t="s">
        <v>31</v>
      </c>
      <c r="B22" s="195" t="s">
        <v>22</v>
      </c>
      <c r="C22" s="186">
        <v>0</v>
      </c>
      <c r="D22" s="317">
        <f t="shared" si="2"/>
        <v>38.4</v>
      </c>
      <c r="E22" s="215">
        <f t="shared" si="3"/>
        <v>0</v>
      </c>
      <c r="F22" s="263">
        <f t="shared" si="1"/>
        <v>38.4</v>
      </c>
      <c r="G22" s="317"/>
      <c r="H22" s="186">
        <v>0</v>
      </c>
      <c r="I22" s="186">
        <v>0</v>
      </c>
      <c r="J22" s="186">
        <v>0</v>
      </c>
      <c r="K22" s="186">
        <v>0</v>
      </c>
      <c r="L22" s="205">
        <v>0</v>
      </c>
      <c r="M22" s="215">
        <v>0</v>
      </c>
      <c r="N22" s="224">
        <v>38.4</v>
      </c>
      <c r="O22" s="234">
        <v>0</v>
      </c>
      <c r="P22" s="241"/>
      <c r="Q22" s="263">
        <v>0</v>
      </c>
      <c r="R22" s="332"/>
      <c r="S22" s="345"/>
      <c r="T22" s="55" t="s">
        <v>22</v>
      </c>
      <c r="U22" s="398"/>
      <c r="V22" s="481"/>
      <c r="W22" s="481"/>
      <c r="X22" s="400"/>
      <c r="Y22" s="179"/>
    </row>
    <row r="23" spans="1:25" s="8" customFormat="1" ht="15">
      <c r="A23" s="178" t="s">
        <v>32</v>
      </c>
      <c r="B23" s="195" t="s">
        <v>23</v>
      </c>
      <c r="C23" s="186">
        <v>0</v>
      </c>
      <c r="D23" s="317">
        <f t="shared" si="2"/>
        <v>13.2</v>
      </c>
      <c r="E23" s="215">
        <f t="shared" si="3"/>
        <v>0</v>
      </c>
      <c r="F23" s="263">
        <f t="shared" si="1"/>
        <v>0</v>
      </c>
      <c r="G23" s="317">
        <v>13.2</v>
      </c>
      <c r="H23" s="186">
        <v>0</v>
      </c>
      <c r="I23" s="186">
        <v>0</v>
      </c>
      <c r="J23" s="186">
        <v>0</v>
      </c>
      <c r="K23" s="186">
        <v>0</v>
      </c>
      <c r="L23" s="205">
        <v>0</v>
      </c>
      <c r="M23" s="215">
        <v>0</v>
      </c>
      <c r="N23" s="224">
        <v>0</v>
      </c>
      <c r="O23" s="234">
        <v>0</v>
      </c>
      <c r="P23" s="241"/>
      <c r="Q23" s="263">
        <v>0</v>
      </c>
      <c r="R23" s="332"/>
      <c r="S23" s="345"/>
      <c r="T23" s="55" t="s">
        <v>23</v>
      </c>
      <c r="U23" s="398"/>
      <c r="V23" s="481"/>
      <c r="W23" s="481"/>
      <c r="X23" s="400"/>
      <c r="Y23" s="179"/>
    </row>
    <row r="24" spans="1:25" s="8" customFormat="1" ht="15">
      <c r="A24" s="178" t="s">
        <v>33</v>
      </c>
      <c r="B24" s="195" t="s">
        <v>24</v>
      </c>
      <c r="C24" s="186">
        <v>0</v>
      </c>
      <c r="D24" s="317">
        <f t="shared" si="2"/>
        <v>0</v>
      </c>
      <c r="E24" s="215">
        <f t="shared" si="3"/>
        <v>0</v>
      </c>
      <c r="F24" s="263">
        <f t="shared" si="1"/>
        <v>0</v>
      </c>
      <c r="G24" s="317"/>
      <c r="H24" s="186">
        <v>0</v>
      </c>
      <c r="I24" s="186">
        <v>0</v>
      </c>
      <c r="J24" s="186">
        <v>0</v>
      </c>
      <c r="K24" s="186">
        <v>0</v>
      </c>
      <c r="L24" s="205">
        <v>0</v>
      </c>
      <c r="M24" s="215">
        <v>0</v>
      </c>
      <c r="N24" s="224">
        <v>0</v>
      </c>
      <c r="O24" s="234">
        <v>0</v>
      </c>
      <c r="P24" s="241"/>
      <c r="Q24" s="263">
        <v>0</v>
      </c>
      <c r="R24" s="332"/>
      <c r="S24" s="345"/>
      <c r="T24" s="55" t="s">
        <v>24</v>
      </c>
      <c r="U24" s="398"/>
      <c r="V24" s="481"/>
      <c r="W24" s="481"/>
      <c r="X24" s="400"/>
      <c r="Y24" s="179"/>
    </row>
    <row r="25" spans="1:25" s="8" customFormat="1" ht="15">
      <c r="A25" s="178" t="s">
        <v>34</v>
      </c>
      <c r="B25" s="59" t="s">
        <v>149</v>
      </c>
      <c r="C25" s="186">
        <v>0</v>
      </c>
      <c r="D25" s="317">
        <f t="shared" si="2"/>
        <v>0</v>
      </c>
      <c r="E25" s="215">
        <f t="shared" si="3"/>
        <v>0</v>
      </c>
      <c r="F25" s="263">
        <f t="shared" si="1"/>
        <v>0</v>
      </c>
      <c r="G25" s="317"/>
      <c r="H25" s="186">
        <v>0</v>
      </c>
      <c r="I25" s="186">
        <v>0</v>
      </c>
      <c r="J25" s="186">
        <v>0</v>
      </c>
      <c r="K25" s="186">
        <v>0</v>
      </c>
      <c r="L25" s="205">
        <v>0</v>
      </c>
      <c r="M25" s="215">
        <v>0</v>
      </c>
      <c r="N25" s="224">
        <v>0</v>
      </c>
      <c r="O25" s="234">
        <v>0</v>
      </c>
      <c r="P25" s="241"/>
      <c r="Q25" s="263">
        <v>0</v>
      </c>
      <c r="R25" s="332"/>
      <c r="S25" s="345"/>
      <c r="T25" s="60" t="s">
        <v>149</v>
      </c>
      <c r="U25" s="398"/>
      <c r="V25" s="481"/>
      <c r="W25" s="481"/>
      <c r="X25" s="400"/>
      <c r="Y25" s="179"/>
    </row>
    <row r="26" spans="1:25" s="8" customFormat="1" ht="15">
      <c r="A26" s="178" t="s">
        <v>35</v>
      </c>
      <c r="B26" s="59" t="s">
        <v>25</v>
      </c>
      <c r="C26" s="186">
        <v>0</v>
      </c>
      <c r="D26" s="332">
        <f>E26+F26+G26+R26</f>
        <v>364.8</v>
      </c>
      <c r="E26" s="215">
        <f t="shared" si="3"/>
        <v>20.1</v>
      </c>
      <c r="F26" s="263">
        <f t="shared" si="1"/>
        <v>9</v>
      </c>
      <c r="G26" s="317">
        <v>4</v>
      </c>
      <c r="H26" s="186">
        <v>0</v>
      </c>
      <c r="I26" s="186">
        <v>0</v>
      </c>
      <c r="J26" s="186">
        <v>20.1</v>
      </c>
      <c r="K26" s="186">
        <v>0</v>
      </c>
      <c r="L26" s="205">
        <v>0</v>
      </c>
      <c r="M26" s="215">
        <v>0</v>
      </c>
      <c r="N26" s="224">
        <v>0</v>
      </c>
      <c r="O26" s="234">
        <v>0</v>
      </c>
      <c r="P26" s="241">
        <v>9</v>
      </c>
      <c r="Q26" s="263">
        <v>0</v>
      </c>
      <c r="R26" s="332">
        <v>331.7</v>
      </c>
      <c r="S26" s="345"/>
      <c r="T26" s="60" t="s">
        <v>25</v>
      </c>
      <c r="U26" s="398"/>
      <c r="V26" s="481"/>
      <c r="W26" s="481"/>
      <c r="X26" s="400"/>
      <c r="Y26" s="179"/>
    </row>
    <row r="27" spans="1:25" s="8" customFormat="1" ht="15">
      <c r="A27" s="178" t="s">
        <v>150</v>
      </c>
      <c r="B27" s="59" t="s">
        <v>151</v>
      </c>
      <c r="C27" s="186">
        <v>0</v>
      </c>
      <c r="D27" s="317">
        <f t="shared" si="2"/>
        <v>40.7</v>
      </c>
      <c r="E27" s="215">
        <f t="shared" si="3"/>
        <v>0</v>
      </c>
      <c r="F27" s="263">
        <f t="shared" si="1"/>
        <v>15.3</v>
      </c>
      <c r="G27" s="317">
        <v>25.4</v>
      </c>
      <c r="H27" s="186">
        <v>0</v>
      </c>
      <c r="I27" s="186">
        <v>0</v>
      </c>
      <c r="J27" s="186">
        <v>0</v>
      </c>
      <c r="K27" s="186">
        <v>0</v>
      </c>
      <c r="L27" s="205">
        <v>0</v>
      </c>
      <c r="M27" s="213">
        <v>0</v>
      </c>
      <c r="N27" s="224">
        <v>15.3</v>
      </c>
      <c r="O27" s="234">
        <v>0</v>
      </c>
      <c r="P27" s="241"/>
      <c r="Q27" s="263">
        <v>0</v>
      </c>
      <c r="R27" s="332"/>
      <c r="S27" s="344"/>
      <c r="T27" s="60" t="s">
        <v>151</v>
      </c>
      <c r="U27" s="401"/>
      <c r="V27" s="402"/>
      <c r="W27" s="402"/>
      <c r="X27" s="403"/>
      <c r="Y27" s="179"/>
    </row>
    <row r="28" spans="1:25" s="78" customFormat="1" ht="15">
      <c r="A28" s="49" t="s">
        <v>46</v>
      </c>
      <c r="B28" s="50" t="s">
        <v>36</v>
      </c>
      <c r="C28" s="180">
        <v>0</v>
      </c>
      <c r="D28" s="180">
        <f aca="true" t="shared" si="4" ref="D28:K28">SUM(D30:D37)</f>
        <v>13389.7</v>
      </c>
      <c r="E28" s="180">
        <f t="shared" si="4"/>
        <v>1426.1</v>
      </c>
      <c r="F28" s="180">
        <f t="shared" si="4"/>
        <v>2759.1</v>
      </c>
      <c r="G28" s="180">
        <f>SUM(G30:G37)</f>
        <v>4092.5</v>
      </c>
      <c r="H28" s="180">
        <f t="shared" si="4"/>
        <v>0.4</v>
      </c>
      <c r="I28" s="180">
        <f t="shared" si="4"/>
        <v>153.8</v>
      </c>
      <c r="J28" s="180">
        <f t="shared" si="4"/>
        <v>54.099999999999994</v>
      </c>
      <c r="K28" s="180">
        <f t="shared" si="4"/>
        <v>590.4</v>
      </c>
      <c r="L28" s="180">
        <f>SUM(L29:L37)</f>
        <v>627.4</v>
      </c>
      <c r="M28" s="180">
        <f>SUM(M29:M37)</f>
        <v>361.6</v>
      </c>
      <c r="N28" s="180">
        <f>SUM(N30:N37)</f>
        <v>193</v>
      </c>
      <c r="O28" s="180">
        <f>SUM(O29:O37)</f>
        <v>393.5</v>
      </c>
      <c r="P28" s="180">
        <f>SUM(P29:P37)</f>
        <v>687.4</v>
      </c>
      <c r="Q28" s="180">
        <f>SUM(Q29:Q37)</f>
        <v>1123.6000000000001</v>
      </c>
      <c r="R28" s="202">
        <f>SUM(R30:R37)</f>
        <v>5112</v>
      </c>
      <c r="S28" s="50" t="s">
        <v>36</v>
      </c>
      <c r="T28" s="75"/>
      <c r="U28" s="285"/>
      <c r="V28" s="76"/>
      <c r="W28" s="76"/>
      <c r="X28" s="87"/>
      <c r="Y28" s="77"/>
    </row>
    <row r="29" spans="1:25" s="8" customFormat="1" ht="15">
      <c r="A29" s="57"/>
      <c r="B29" s="197" t="s">
        <v>9</v>
      </c>
      <c r="C29" s="196"/>
      <c r="D29" s="186"/>
      <c r="E29" s="215"/>
      <c r="F29" s="215"/>
      <c r="G29" s="317"/>
      <c r="H29" s="186"/>
      <c r="I29" s="186"/>
      <c r="J29" s="186"/>
      <c r="K29" s="186"/>
      <c r="L29" s="205"/>
      <c r="M29" s="215"/>
      <c r="N29" s="224"/>
      <c r="O29" s="234"/>
      <c r="P29" s="241"/>
      <c r="Q29" s="263"/>
      <c r="R29" s="332"/>
      <c r="S29" s="197" t="s">
        <v>9</v>
      </c>
      <c r="T29" s="37"/>
      <c r="U29" s="283"/>
      <c r="V29" s="198"/>
      <c r="W29" s="198"/>
      <c r="X29" s="86"/>
      <c r="Y29" s="179"/>
    </row>
    <row r="30" spans="1:25" s="8" customFormat="1" ht="27.75" customHeight="1">
      <c r="A30" s="178" t="s">
        <v>47</v>
      </c>
      <c r="B30" s="195" t="s">
        <v>37</v>
      </c>
      <c r="C30" s="186">
        <v>0</v>
      </c>
      <c r="D30" s="186">
        <f>E30+F30+G30</f>
        <v>6100</v>
      </c>
      <c r="E30" s="215">
        <f>I30+J30+K30+L30</f>
        <v>680</v>
      </c>
      <c r="F30" s="215">
        <f>M30+N30+O30+P30+Q30</f>
        <v>2080</v>
      </c>
      <c r="G30" s="317">
        <v>3340</v>
      </c>
      <c r="H30" s="186">
        <v>0</v>
      </c>
      <c r="I30" s="186">
        <v>150</v>
      </c>
      <c r="J30" s="186">
        <v>0</v>
      </c>
      <c r="K30" s="186">
        <v>0</v>
      </c>
      <c r="L30" s="205">
        <v>530</v>
      </c>
      <c r="M30" s="215">
        <v>360</v>
      </c>
      <c r="N30" s="224">
        <v>190</v>
      </c>
      <c r="O30" s="234">
        <v>390</v>
      </c>
      <c r="P30" s="241">
        <v>680</v>
      </c>
      <c r="Q30" s="263">
        <v>460</v>
      </c>
      <c r="R30" s="332">
        <v>0</v>
      </c>
      <c r="S30" s="195" t="s">
        <v>37</v>
      </c>
      <c r="T30" s="406" t="s">
        <v>272</v>
      </c>
      <c r="U30" s="459" t="s">
        <v>271</v>
      </c>
      <c r="V30" s="460">
        <v>42060</v>
      </c>
      <c r="W30" s="366">
        <v>44179</v>
      </c>
      <c r="X30" s="404">
        <v>100000</v>
      </c>
      <c r="Y30" s="179"/>
    </row>
    <row r="31" spans="1:25" s="8" customFormat="1" ht="30.75" customHeight="1">
      <c r="A31" s="178" t="s">
        <v>48</v>
      </c>
      <c r="B31" s="195" t="s">
        <v>38</v>
      </c>
      <c r="C31" s="186">
        <v>0</v>
      </c>
      <c r="D31" s="332">
        <f>E31+F31+G31+R31</f>
        <v>2667.7999999999997</v>
      </c>
      <c r="E31" s="215">
        <f>I31+J31+K31+L31</f>
        <v>668.3</v>
      </c>
      <c r="F31" s="263">
        <f>M31+N31+O31+P31+Q31</f>
        <v>657.9</v>
      </c>
      <c r="G31" s="317">
        <v>727.2</v>
      </c>
      <c r="H31" s="186">
        <v>0</v>
      </c>
      <c r="I31" s="186">
        <v>0</v>
      </c>
      <c r="J31" s="186">
        <v>0</v>
      </c>
      <c r="K31" s="186">
        <v>572</v>
      </c>
      <c r="L31" s="205">
        <v>96.3</v>
      </c>
      <c r="M31" s="215">
        <v>0</v>
      </c>
      <c r="N31" s="224">
        <v>0</v>
      </c>
      <c r="O31" s="234">
        <v>0</v>
      </c>
      <c r="P31" s="241">
        <v>0</v>
      </c>
      <c r="Q31" s="263">
        <v>657.9</v>
      </c>
      <c r="R31" s="332">
        <v>614.4</v>
      </c>
      <c r="S31" s="195" t="s">
        <v>38</v>
      </c>
      <c r="T31" s="492"/>
      <c r="U31" s="349"/>
      <c r="V31" s="351"/>
      <c r="W31" s="493"/>
      <c r="X31" s="405"/>
      <c r="Y31" s="179"/>
    </row>
    <row r="32" spans="1:25" s="8" customFormat="1" ht="38.25" customHeight="1">
      <c r="A32" s="250" t="s">
        <v>49</v>
      </c>
      <c r="B32" s="273" t="s">
        <v>99</v>
      </c>
      <c r="C32" s="251">
        <v>0</v>
      </c>
      <c r="D32" s="332">
        <f>E32+F32+G32+R32</f>
        <v>2968.2</v>
      </c>
      <c r="E32" s="251">
        <v>0</v>
      </c>
      <c r="F32" s="251">
        <v>0</v>
      </c>
      <c r="G32" s="317">
        <v>23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63">
        <v>0</v>
      </c>
      <c r="R32" s="332">
        <v>2945.2</v>
      </c>
      <c r="S32" s="274" t="s">
        <v>358</v>
      </c>
      <c r="T32" s="482" t="s">
        <v>360</v>
      </c>
      <c r="U32" s="459">
        <v>44027</v>
      </c>
      <c r="V32" s="460">
        <v>41627</v>
      </c>
      <c r="W32" s="260"/>
      <c r="X32" s="255"/>
      <c r="Y32" s="254"/>
    </row>
    <row r="33" spans="1:25" s="8" customFormat="1" ht="30.75" customHeight="1">
      <c r="A33" s="250" t="s">
        <v>50</v>
      </c>
      <c r="B33" s="273" t="s">
        <v>354</v>
      </c>
      <c r="C33" s="251">
        <v>0</v>
      </c>
      <c r="D33" s="332">
        <f>E33+F33+G33+R33</f>
        <v>1113.5</v>
      </c>
      <c r="E33" s="251">
        <v>0</v>
      </c>
      <c r="F33" s="251">
        <v>0</v>
      </c>
      <c r="G33" s="317">
        <v>2.3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63">
        <v>0</v>
      </c>
      <c r="R33" s="332">
        <v>1111.2</v>
      </c>
      <c r="S33" s="273" t="s">
        <v>99</v>
      </c>
      <c r="T33" s="483"/>
      <c r="U33" s="349"/>
      <c r="V33" s="351"/>
      <c r="W33" s="260"/>
      <c r="X33" s="255"/>
      <c r="Y33" s="254"/>
    </row>
    <row r="34" spans="1:25" s="8" customFormat="1" ht="30.75" customHeight="1">
      <c r="A34" s="250" t="s">
        <v>51</v>
      </c>
      <c r="B34" s="273" t="s">
        <v>100</v>
      </c>
      <c r="C34" s="251">
        <v>0</v>
      </c>
      <c r="D34" s="317">
        <f>E34+F34+G34</f>
        <v>0</v>
      </c>
      <c r="E34" s="251">
        <v>0</v>
      </c>
      <c r="F34" s="251">
        <v>0</v>
      </c>
      <c r="G34" s="317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63">
        <v>0</v>
      </c>
      <c r="R34" s="332">
        <v>0</v>
      </c>
      <c r="S34" s="273" t="s">
        <v>359</v>
      </c>
      <c r="T34" s="482" t="s">
        <v>360</v>
      </c>
      <c r="U34" s="459" t="s">
        <v>265</v>
      </c>
      <c r="V34" s="460">
        <v>41627</v>
      </c>
      <c r="W34" s="260"/>
      <c r="X34" s="255"/>
      <c r="Y34" s="254"/>
    </row>
    <row r="35" spans="1:25" s="8" customFormat="1" ht="30.75" customHeight="1">
      <c r="A35" s="250" t="s">
        <v>164</v>
      </c>
      <c r="B35" s="273" t="s">
        <v>355</v>
      </c>
      <c r="C35" s="251">
        <v>0</v>
      </c>
      <c r="D35" s="332">
        <f>E35+F35+G35+R35</f>
        <v>407</v>
      </c>
      <c r="E35" s="251">
        <v>0</v>
      </c>
      <c r="F35" s="251">
        <v>0</v>
      </c>
      <c r="G35" s="317">
        <v>0</v>
      </c>
      <c r="H35" s="251">
        <v>0</v>
      </c>
      <c r="I35" s="251">
        <v>0</v>
      </c>
      <c r="J35" s="251"/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63">
        <v>0</v>
      </c>
      <c r="R35" s="332">
        <v>407</v>
      </c>
      <c r="S35" s="273" t="s">
        <v>100</v>
      </c>
      <c r="T35" s="483"/>
      <c r="U35" s="349"/>
      <c r="V35" s="351"/>
      <c r="W35" s="260"/>
      <c r="X35" s="255"/>
      <c r="Y35" s="254"/>
    </row>
    <row r="36" spans="1:25" s="8" customFormat="1" ht="20.25" customHeight="1">
      <c r="A36" s="250" t="s">
        <v>356</v>
      </c>
      <c r="B36" s="195" t="s">
        <v>39</v>
      </c>
      <c r="C36" s="186">
        <v>0</v>
      </c>
      <c r="D36" s="332">
        <f>E36+F36+G36+R36</f>
        <v>73.60000000000001</v>
      </c>
      <c r="E36" s="215">
        <f>I36+J36+K36+L36+H36</f>
        <v>26.8</v>
      </c>
      <c r="F36" s="241">
        <f>M36+N36+O36+P36+Q36</f>
        <v>19.6</v>
      </c>
      <c r="G36" s="317">
        <v>0</v>
      </c>
      <c r="H36" s="186">
        <v>0.4</v>
      </c>
      <c r="I36" s="186">
        <v>3.8</v>
      </c>
      <c r="J36" s="186">
        <v>14.7</v>
      </c>
      <c r="K36" s="186">
        <v>6.8</v>
      </c>
      <c r="L36" s="205">
        <v>1.1</v>
      </c>
      <c r="M36" s="215">
        <v>1.6</v>
      </c>
      <c r="N36" s="224">
        <v>3</v>
      </c>
      <c r="O36" s="234">
        <v>1.9</v>
      </c>
      <c r="P36" s="241">
        <v>7.4</v>
      </c>
      <c r="Q36" s="263">
        <v>5.7</v>
      </c>
      <c r="R36" s="332">
        <v>27.2</v>
      </c>
      <c r="S36" s="195" t="s">
        <v>39</v>
      </c>
      <c r="T36" s="37"/>
      <c r="U36" s="283"/>
      <c r="V36" s="198"/>
      <c r="W36" s="198"/>
      <c r="X36" s="86"/>
      <c r="Y36" s="179"/>
    </row>
    <row r="37" spans="1:25" s="8" customFormat="1" ht="24" customHeight="1">
      <c r="A37" s="250" t="s">
        <v>357</v>
      </c>
      <c r="B37" s="13" t="s">
        <v>163</v>
      </c>
      <c r="C37" s="186">
        <v>0</v>
      </c>
      <c r="D37" s="332">
        <f>E37+F37+G37+R37</f>
        <v>59.6</v>
      </c>
      <c r="E37" s="215">
        <f>I37+J37+K37+L37</f>
        <v>51</v>
      </c>
      <c r="F37" s="241">
        <f>M37+N37+O37+P37</f>
        <v>1.6</v>
      </c>
      <c r="G37" s="317">
        <v>0</v>
      </c>
      <c r="H37" s="186">
        <v>0</v>
      </c>
      <c r="I37" s="186">
        <v>0</v>
      </c>
      <c r="J37" s="186">
        <v>39.4</v>
      </c>
      <c r="K37" s="186">
        <v>11.6</v>
      </c>
      <c r="L37" s="205">
        <v>0</v>
      </c>
      <c r="M37" s="215">
        <v>0</v>
      </c>
      <c r="N37" s="224">
        <v>0</v>
      </c>
      <c r="O37" s="234">
        <v>1.6</v>
      </c>
      <c r="P37" s="241">
        <v>0</v>
      </c>
      <c r="Q37" s="263">
        <v>0</v>
      </c>
      <c r="R37" s="332">
        <v>7</v>
      </c>
      <c r="S37" s="13" t="s">
        <v>163</v>
      </c>
      <c r="T37" s="37"/>
      <c r="U37" s="283"/>
      <c r="V37" s="198"/>
      <c r="W37" s="198"/>
      <c r="X37" s="86"/>
      <c r="Y37" s="179"/>
    </row>
    <row r="38" spans="1:25" s="78" customFormat="1" ht="15">
      <c r="A38" s="49" t="s">
        <v>52</v>
      </c>
      <c r="B38" s="50" t="s">
        <v>42</v>
      </c>
      <c r="C38" s="180">
        <v>0</v>
      </c>
      <c r="D38" s="180">
        <f>D40+D41+D42</f>
        <v>62324.700000000004</v>
      </c>
      <c r="E38" s="180">
        <f>SUM(E40:E42)</f>
        <v>14933.899999999998</v>
      </c>
      <c r="F38" s="180">
        <f>SUM(F40:F41)</f>
        <v>15222.9</v>
      </c>
      <c r="G38" s="180">
        <f>SUM(G40:G41)</f>
        <v>13583.900000000001</v>
      </c>
      <c r="H38" s="180">
        <f>H40+H41+H42</f>
        <v>2.3</v>
      </c>
      <c r="I38" s="180">
        <f aca="true" t="shared" si="5" ref="I38:N38">SUM(I40:I42)</f>
        <v>6796.2</v>
      </c>
      <c r="J38" s="180">
        <f t="shared" si="5"/>
        <v>0</v>
      </c>
      <c r="K38" s="180">
        <f t="shared" si="5"/>
        <v>3827.8</v>
      </c>
      <c r="L38" s="180">
        <f t="shared" si="5"/>
        <v>4307.599999999999</v>
      </c>
      <c r="M38" s="180">
        <f t="shared" si="5"/>
        <v>1423.2</v>
      </c>
      <c r="N38" s="180">
        <f t="shared" si="5"/>
        <v>6968.4</v>
      </c>
      <c r="O38" s="180">
        <f>SUM(O40:O42)</f>
        <v>3557.3</v>
      </c>
      <c r="P38" s="180">
        <f>SUM(P40:P42)</f>
        <v>1897.6</v>
      </c>
      <c r="Q38" s="180">
        <f>SUM(Q40:Q42)</f>
        <v>1376.4</v>
      </c>
      <c r="R38" s="202">
        <f>SUM(R40:R41)</f>
        <v>18584</v>
      </c>
      <c r="S38" s="50" t="s">
        <v>42</v>
      </c>
      <c r="T38" s="75"/>
      <c r="U38" s="285"/>
      <c r="V38" s="76"/>
      <c r="W38" s="76"/>
      <c r="X38" s="87"/>
      <c r="Y38" s="77"/>
    </row>
    <row r="39" spans="1:25" s="8" customFormat="1" ht="15">
      <c r="A39" s="57"/>
      <c r="B39" s="197" t="s">
        <v>9</v>
      </c>
      <c r="C39" s="196"/>
      <c r="D39" s="186"/>
      <c r="E39" s="215"/>
      <c r="F39" s="215"/>
      <c r="G39" s="317"/>
      <c r="H39" s="186"/>
      <c r="I39" s="186"/>
      <c r="J39" s="186"/>
      <c r="K39" s="186"/>
      <c r="L39" s="205"/>
      <c r="M39" s="215"/>
      <c r="N39" s="224"/>
      <c r="O39" s="234"/>
      <c r="P39" s="241"/>
      <c r="Q39" s="263"/>
      <c r="R39" s="332"/>
      <c r="S39" s="197" t="s">
        <v>9</v>
      </c>
      <c r="T39" s="37"/>
      <c r="U39" s="283"/>
      <c r="V39" s="198"/>
      <c r="W39" s="198"/>
      <c r="X39" s="86"/>
      <c r="Y39" s="179"/>
    </row>
    <row r="40" spans="1:25" s="8" customFormat="1" ht="30">
      <c r="A40" s="178" t="s">
        <v>53</v>
      </c>
      <c r="B40" s="195" t="s">
        <v>43</v>
      </c>
      <c r="C40" s="186">
        <v>0</v>
      </c>
      <c r="D40" s="332">
        <f>E40+F40+G40+R40</f>
        <v>50171.8</v>
      </c>
      <c r="E40" s="215">
        <f>I40+J40+L40+K40+H40</f>
        <v>14500.099999999999</v>
      </c>
      <c r="F40" s="215">
        <f>M40+N40+O40+P40+Q40</f>
        <v>9549.8</v>
      </c>
      <c r="G40" s="317">
        <v>10741.6</v>
      </c>
      <c r="H40" s="186">
        <v>2.3</v>
      </c>
      <c r="I40" s="186">
        <v>6796.2</v>
      </c>
      <c r="J40" s="186">
        <v>0</v>
      </c>
      <c r="K40" s="186">
        <v>3534.4</v>
      </c>
      <c r="L40" s="205">
        <v>4167.2</v>
      </c>
      <c r="M40" s="215">
        <v>663.2</v>
      </c>
      <c r="N40" s="224">
        <v>5368.4</v>
      </c>
      <c r="O40" s="234">
        <v>1857.3</v>
      </c>
      <c r="P40" s="241">
        <v>1276.3</v>
      </c>
      <c r="Q40" s="263">
        <v>384.6</v>
      </c>
      <c r="R40" s="332">
        <v>15380.3</v>
      </c>
      <c r="S40" s="195" t="s">
        <v>43</v>
      </c>
      <c r="T40" s="37" t="s">
        <v>278</v>
      </c>
      <c r="U40" s="283" t="s">
        <v>276</v>
      </c>
      <c r="V40" s="42">
        <v>41051</v>
      </c>
      <c r="W40" s="198" t="s">
        <v>277</v>
      </c>
      <c r="X40" s="86"/>
      <c r="Y40" s="179"/>
    </row>
    <row r="41" spans="1:25" s="8" customFormat="1" ht="50.25" customHeight="1">
      <c r="A41" s="178" t="s">
        <v>54</v>
      </c>
      <c r="B41" s="195" t="s">
        <v>44</v>
      </c>
      <c r="C41" s="186">
        <v>0</v>
      </c>
      <c r="D41" s="332">
        <f>E41+F41+G41+R41</f>
        <v>12152.900000000001</v>
      </c>
      <c r="E41" s="215">
        <f>I41+J41+L41+K41</f>
        <v>433.79999999999995</v>
      </c>
      <c r="F41" s="241">
        <f>M41+N41+O41+P41+Q41</f>
        <v>5673.1</v>
      </c>
      <c r="G41" s="317">
        <v>2842.3</v>
      </c>
      <c r="H41" s="186">
        <v>0</v>
      </c>
      <c r="I41" s="186">
        <v>0</v>
      </c>
      <c r="J41" s="186">
        <v>0</v>
      </c>
      <c r="K41" s="186">
        <v>293.4</v>
      </c>
      <c r="L41" s="205">
        <v>140.4</v>
      </c>
      <c r="M41" s="215">
        <v>760</v>
      </c>
      <c r="N41" s="224">
        <v>1600</v>
      </c>
      <c r="O41" s="234">
        <v>1700</v>
      </c>
      <c r="P41" s="241">
        <v>621.3</v>
      </c>
      <c r="Q41" s="263">
        <v>991.8</v>
      </c>
      <c r="R41" s="332">
        <v>3203.7</v>
      </c>
      <c r="S41" s="195" t="s">
        <v>44</v>
      </c>
      <c r="T41" s="37" t="s">
        <v>279</v>
      </c>
      <c r="U41" s="275" t="s">
        <v>167</v>
      </c>
      <c r="V41" s="21"/>
      <c r="W41" s="21"/>
      <c r="X41" s="86"/>
      <c r="Y41" s="179"/>
    </row>
    <row r="42" spans="1:25" s="8" customFormat="1" ht="18" customHeight="1">
      <c r="A42" s="178" t="s">
        <v>55</v>
      </c>
      <c r="B42" s="195" t="s">
        <v>45</v>
      </c>
      <c r="C42" s="196"/>
      <c r="D42" s="215">
        <f>H42+I42+K42+J42+L42+M42</f>
        <v>0</v>
      </c>
      <c r="E42" s="215">
        <f>I42+J42</f>
        <v>0</v>
      </c>
      <c r="F42" s="215"/>
      <c r="G42" s="317"/>
      <c r="H42" s="186">
        <v>0</v>
      </c>
      <c r="I42" s="186">
        <v>0</v>
      </c>
      <c r="J42" s="186">
        <v>0</v>
      </c>
      <c r="K42" s="186">
        <v>0</v>
      </c>
      <c r="L42" s="205">
        <v>0</v>
      </c>
      <c r="M42" s="215">
        <v>0</v>
      </c>
      <c r="N42" s="224">
        <v>0</v>
      </c>
      <c r="O42" s="234">
        <v>0</v>
      </c>
      <c r="P42" s="241">
        <v>0</v>
      </c>
      <c r="Q42" s="263">
        <v>0</v>
      </c>
      <c r="R42" s="332">
        <v>0</v>
      </c>
      <c r="S42" s="195" t="s">
        <v>45</v>
      </c>
      <c r="T42" s="37" t="s">
        <v>169</v>
      </c>
      <c r="U42" s="286" t="s">
        <v>168</v>
      </c>
      <c r="V42" s="61"/>
      <c r="W42" s="61"/>
      <c r="X42" s="86"/>
      <c r="Y42" s="179"/>
    </row>
    <row r="43" spans="1:25" s="78" customFormat="1" ht="15">
      <c r="A43" s="49" t="s">
        <v>101</v>
      </c>
      <c r="B43" s="50" t="s">
        <v>56</v>
      </c>
      <c r="C43" s="180">
        <f>C45+C46+C47+C48+C52+C55+C57+C59+C60+C61+C75+C76+C77+C78+C79+C80+C81+C82+C83+C84+C86</f>
        <v>0</v>
      </c>
      <c r="D43" s="180">
        <f aca="true" t="shared" si="6" ref="D43:L43">SUM(D45:D86)</f>
        <v>21535.100000000002</v>
      </c>
      <c r="E43" s="180">
        <f>SUM(E45:E86)</f>
        <v>7254</v>
      </c>
      <c r="F43" s="180">
        <f>SUM(F45:F86)</f>
        <v>2867.2999999999997</v>
      </c>
      <c r="G43" s="180">
        <f>SUM(G45:G86)</f>
        <v>5389.200000000001</v>
      </c>
      <c r="H43" s="180">
        <f t="shared" si="6"/>
        <v>538.8</v>
      </c>
      <c r="I43" s="180">
        <f t="shared" si="6"/>
        <v>446.70000000000005</v>
      </c>
      <c r="J43" s="180">
        <f t="shared" si="6"/>
        <v>2836.4</v>
      </c>
      <c r="K43" s="180">
        <f t="shared" si="6"/>
        <v>2927.6000000000004</v>
      </c>
      <c r="L43" s="180">
        <f t="shared" si="6"/>
        <v>504.5</v>
      </c>
      <c r="M43" s="180">
        <f aca="true" t="shared" si="7" ref="M43:R43">SUM(M45:M86)</f>
        <v>325</v>
      </c>
      <c r="N43" s="180">
        <f t="shared" si="7"/>
        <v>588.6</v>
      </c>
      <c r="O43" s="180">
        <f t="shared" si="7"/>
        <v>522.8</v>
      </c>
      <c r="P43" s="180">
        <f t="shared" si="7"/>
        <v>526</v>
      </c>
      <c r="Q43" s="180">
        <f t="shared" si="7"/>
        <v>904.8999999999999</v>
      </c>
      <c r="R43" s="202">
        <f t="shared" si="7"/>
        <v>6024.6</v>
      </c>
      <c r="S43" s="50" t="s">
        <v>56</v>
      </c>
      <c r="T43" s="75"/>
      <c r="U43" s="285"/>
      <c r="V43" s="76"/>
      <c r="W43" s="76"/>
      <c r="X43" s="87"/>
      <c r="Y43" s="77"/>
    </row>
    <row r="44" spans="1:25" s="8" customFormat="1" ht="15">
      <c r="A44" s="57"/>
      <c r="B44" s="197" t="s">
        <v>9</v>
      </c>
      <c r="C44" s="196"/>
      <c r="D44" s="186"/>
      <c r="E44" s="215"/>
      <c r="F44" s="215"/>
      <c r="G44" s="317"/>
      <c r="H44" s="186"/>
      <c r="I44" s="186"/>
      <c r="J44" s="186"/>
      <c r="K44" s="186"/>
      <c r="L44" s="205"/>
      <c r="M44" s="215"/>
      <c r="N44" s="224"/>
      <c r="O44" s="234"/>
      <c r="P44" s="241"/>
      <c r="Q44" s="263"/>
      <c r="R44" s="332"/>
      <c r="S44" s="197" t="s">
        <v>9</v>
      </c>
      <c r="T44" s="37"/>
      <c r="U44" s="283"/>
      <c r="V44" s="198"/>
      <c r="W44" s="198"/>
      <c r="X44" s="86"/>
      <c r="Y44" s="179"/>
    </row>
    <row r="45" spans="1:25" s="8" customFormat="1" ht="38.25">
      <c r="A45" s="178" t="s">
        <v>102</v>
      </c>
      <c r="B45" s="200" t="s">
        <v>57</v>
      </c>
      <c r="C45" s="186">
        <v>0</v>
      </c>
      <c r="D45" s="186">
        <f>H45+I45</f>
        <v>0</v>
      </c>
      <c r="E45" s="215">
        <f>I45+J45</f>
        <v>0</v>
      </c>
      <c r="F45" s="215">
        <f>M45</f>
        <v>0</v>
      </c>
      <c r="G45" s="317">
        <f>N45</f>
        <v>0</v>
      </c>
      <c r="H45" s="186">
        <v>0</v>
      </c>
      <c r="I45" s="186">
        <v>0</v>
      </c>
      <c r="J45" s="186">
        <v>0</v>
      </c>
      <c r="K45" s="186">
        <v>0</v>
      </c>
      <c r="L45" s="205">
        <v>0</v>
      </c>
      <c r="M45" s="215">
        <v>0</v>
      </c>
      <c r="N45" s="224">
        <v>0</v>
      </c>
      <c r="O45" s="234">
        <v>0</v>
      </c>
      <c r="P45" s="241">
        <v>0</v>
      </c>
      <c r="Q45" s="263">
        <v>0</v>
      </c>
      <c r="R45" s="332">
        <f>Y45</f>
        <v>0</v>
      </c>
      <c r="S45" s="200" t="s">
        <v>57</v>
      </c>
      <c r="T45" s="37" t="s">
        <v>280</v>
      </c>
      <c r="U45" s="283">
        <v>328</v>
      </c>
      <c r="V45" s="42">
        <v>40541</v>
      </c>
      <c r="W45" s="298">
        <v>44194</v>
      </c>
      <c r="X45" s="86">
        <v>25000</v>
      </c>
      <c r="Y45" s="179"/>
    </row>
    <row r="46" spans="1:25" s="8" customFormat="1" ht="27.75" customHeight="1">
      <c r="A46" s="178" t="s">
        <v>103</v>
      </c>
      <c r="B46" s="200" t="s">
        <v>58</v>
      </c>
      <c r="C46" s="186">
        <v>0</v>
      </c>
      <c r="D46" s="332">
        <f>E46+F46+G46+R46</f>
        <v>1122.6</v>
      </c>
      <c r="E46" s="215">
        <f>I46+J46+L46+K46+H46</f>
        <v>371.1</v>
      </c>
      <c r="F46" s="215">
        <f>M46+N46+P46+O46+Q46</f>
        <v>392.7</v>
      </c>
      <c r="G46" s="317">
        <v>145.6</v>
      </c>
      <c r="H46" s="186">
        <v>116.9</v>
      </c>
      <c r="I46" s="186">
        <v>0</v>
      </c>
      <c r="J46" s="186">
        <v>0</v>
      </c>
      <c r="K46" s="186">
        <v>254.2</v>
      </c>
      <c r="L46" s="205">
        <v>0</v>
      </c>
      <c r="M46" s="215">
        <v>0</v>
      </c>
      <c r="N46" s="224">
        <v>250</v>
      </c>
      <c r="O46" s="234">
        <v>0</v>
      </c>
      <c r="P46" s="241">
        <v>0</v>
      </c>
      <c r="Q46" s="263">
        <v>142.7</v>
      </c>
      <c r="R46" s="332">
        <v>213.2</v>
      </c>
      <c r="S46" s="200" t="s">
        <v>58</v>
      </c>
      <c r="T46" s="37" t="s">
        <v>281</v>
      </c>
      <c r="U46" s="276">
        <v>511</v>
      </c>
      <c r="V46" s="277">
        <v>43059</v>
      </c>
      <c r="W46" s="278">
        <v>43424</v>
      </c>
      <c r="X46" s="86" t="s">
        <v>361</v>
      </c>
      <c r="Y46" s="179"/>
    </row>
    <row r="47" spans="1:25" s="8" customFormat="1" ht="25.5">
      <c r="A47" s="178" t="s">
        <v>104</v>
      </c>
      <c r="B47" s="199" t="s">
        <v>59</v>
      </c>
      <c r="C47" s="186">
        <v>0</v>
      </c>
      <c r="D47" s="332">
        <f>E47+F47+G47+R47</f>
        <v>2239.7</v>
      </c>
      <c r="E47" s="215">
        <f>I47+J47+L47+K47</f>
        <v>443.6</v>
      </c>
      <c r="F47" s="241">
        <f>M47+N47+P47+O47+Q47</f>
        <v>470</v>
      </c>
      <c r="G47" s="317">
        <v>550</v>
      </c>
      <c r="H47" s="186">
        <v>0</v>
      </c>
      <c r="I47" s="186">
        <v>200</v>
      </c>
      <c r="J47" s="186">
        <v>0</v>
      </c>
      <c r="K47" s="186">
        <v>243.6</v>
      </c>
      <c r="L47" s="205">
        <v>0</v>
      </c>
      <c r="M47" s="215">
        <v>150</v>
      </c>
      <c r="N47" s="224">
        <v>0</v>
      </c>
      <c r="O47" s="234">
        <v>0</v>
      </c>
      <c r="P47" s="241">
        <v>170</v>
      </c>
      <c r="Q47" s="263">
        <v>150</v>
      </c>
      <c r="R47" s="332">
        <v>776.1</v>
      </c>
      <c r="S47" s="199" t="s">
        <v>59</v>
      </c>
      <c r="T47" s="37" t="s">
        <v>281</v>
      </c>
      <c r="U47" s="275" t="s">
        <v>362</v>
      </c>
      <c r="V47" s="22">
        <v>43046</v>
      </c>
      <c r="W47" s="278">
        <v>43424</v>
      </c>
      <c r="X47" s="86" t="s">
        <v>310</v>
      </c>
      <c r="Y47" s="179"/>
    </row>
    <row r="48" spans="1:25" s="8" customFormat="1" ht="51">
      <c r="A48" s="178" t="s">
        <v>105</v>
      </c>
      <c r="B48" s="195" t="s">
        <v>60</v>
      </c>
      <c r="C48" s="186">
        <v>0</v>
      </c>
      <c r="D48" s="332">
        <f>E48+F48+G48+R48</f>
        <v>396</v>
      </c>
      <c r="E48" s="215">
        <f>I48+J48+L48+K48+M48+H48</f>
        <v>156.2</v>
      </c>
      <c r="F48" s="241">
        <f>M48+N48+P48+O48+Q48</f>
        <v>67.3</v>
      </c>
      <c r="G48" s="317">
        <v>35.7</v>
      </c>
      <c r="H48" s="186">
        <v>35.9</v>
      </c>
      <c r="I48" s="186">
        <v>27.5</v>
      </c>
      <c r="J48" s="186">
        <v>25.5</v>
      </c>
      <c r="K48" s="186">
        <v>0</v>
      </c>
      <c r="L48" s="205">
        <v>67.3</v>
      </c>
      <c r="M48" s="215">
        <v>0</v>
      </c>
      <c r="N48" s="224">
        <v>0</v>
      </c>
      <c r="O48" s="234">
        <v>0.4</v>
      </c>
      <c r="P48" s="241">
        <v>2.8</v>
      </c>
      <c r="Q48" s="263">
        <v>64.1</v>
      </c>
      <c r="R48" s="332">
        <v>136.8</v>
      </c>
      <c r="S48" s="195" t="s">
        <v>60</v>
      </c>
      <c r="T48" s="37" t="s">
        <v>282</v>
      </c>
      <c r="U48" s="276">
        <v>249</v>
      </c>
      <c r="V48" s="22">
        <v>41502</v>
      </c>
      <c r="W48" s="21" t="s">
        <v>175</v>
      </c>
      <c r="X48" s="86"/>
      <c r="Y48" s="179"/>
    </row>
    <row r="49" spans="1:25" s="8" customFormat="1" ht="27.75" customHeight="1">
      <c r="A49" s="269" t="s">
        <v>106</v>
      </c>
      <c r="B49" s="279" t="s">
        <v>363</v>
      </c>
      <c r="C49" s="245">
        <v>0</v>
      </c>
      <c r="D49" s="332">
        <f>R49</f>
        <v>42</v>
      </c>
      <c r="E49" s="245">
        <v>0</v>
      </c>
      <c r="F49" s="245">
        <v>0</v>
      </c>
      <c r="G49" s="31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61">
        <v>0</v>
      </c>
      <c r="R49" s="333">
        <v>42</v>
      </c>
      <c r="S49" s="256" t="s">
        <v>363</v>
      </c>
      <c r="T49" s="37" t="s">
        <v>202</v>
      </c>
      <c r="U49" s="276">
        <v>211</v>
      </c>
      <c r="V49" s="22">
        <v>42900</v>
      </c>
      <c r="W49" s="64">
        <v>43265</v>
      </c>
      <c r="X49" s="86">
        <v>218.2</v>
      </c>
      <c r="Y49" s="254"/>
    </row>
    <row r="50" spans="1:25" s="8" customFormat="1" ht="27.75" customHeight="1">
      <c r="A50" s="269" t="s">
        <v>107</v>
      </c>
      <c r="B50" s="279" t="s">
        <v>364</v>
      </c>
      <c r="C50" s="245">
        <v>0</v>
      </c>
      <c r="D50" s="332">
        <f>E50+F50+G50+R50</f>
        <v>248.2</v>
      </c>
      <c r="E50" s="245">
        <v>0</v>
      </c>
      <c r="F50" s="245">
        <f>Q50</f>
        <v>48.5</v>
      </c>
      <c r="G50" s="315">
        <v>0</v>
      </c>
      <c r="H50" s="245"/>
      <c r="I50" s="245">
        <v>0</v>
      </c>
      <c r="J50" s="245"/>
      <c r="K50" s="245">
        <v>0</v>
      </c>
      <c r="L50" s="245"/>
      <c r="M50" s="245">
        <v>0</v>
      </c>
      <c r="N50" s="245">
        <v>0</v>
      </c>
      <c r="O50" s="245">
        <v>0</v>
      </c>
      <c r="P50" s="245">
        <v>0</v>
      </c>
      <c r="Q50" s="261">
        <v>48.5</v>
      </c>
      <c r="R50" s="333">
        <v>199.7</v>
      </c>
      <c r="S50" s="256" t="s">
        <v>364</v>
      </c>
      <c r="T50" s="37" t="s">
        <v>435</v>
      </c>
      <c r="U50" s="276">
        <v>521</v>
      </c>
      <c r="V50" s="22">
        <v>43060</v>
      </c>
      <c r="W50" s="294" t="s">
        <v>365</v>
      </c>
      <c r="X50" s="86">
        <v>261.2</v>
      </c>
      <c r="Y50" s="254"/>
    </row>
    <row r="51" spans="1:25" s="8" customFormat="1" ht="27.75" customHeight="1">
      <c r="A51" s="269" t="s">
        <v>108</v>
      </c>
      <c r="B51" s="279" t="s">
        <v>366</v>
      </c>
      <c r="C51" s="245">
        <v>0</v>
      </c>
      <c r="D51" s="333">
        <f>G51+R51</f>
        <v>1203.1</v>
      </c>
      <c r="E51" s="245">
        <v>0</v>
      </c>
      <c r="F51" s="245">
        <v>0</v>
      </c>
      <c r="G51" s="315">
        <v>364.1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61">
        <v>0</v>
      </c>
      <c r="R51" s="333">
        <v>839</v>
      </c>
      <c r="S51" s="256" t="s">
        <v>366</v>
      </c>
      <c r="T51" s="37" t="s">
        <v>436</v>
      </c>
      <c r="U51" s="276">
        <v>456</v>
      </c>
      <c r="V51" s="22">
        <v>43028</v>
      </c>
      <c r="W51" s="293">
        <v>43028</v>
      </c>
      <c r="X51" s="86">
        <v>1431.6</v>
      </c>
      <c r="Y51" s="254"/>
    </row>
    <row r="52" spans="1:25" s="8" customFormat="1" ht="25.5">
      <c r="A52" s="389" t="s">
        <v>107</v>
      </c>
      <c r="B52" s="407" t="s">
        <v>61</v>
      </c>
      <c r="C52" s="343">
        <v>0</v>
      </c>
      <c r="D52" s="420">
        <f>R52</f>
        <v>2.1</v>
      </c>
      <c r="E52" s="343">
        <v>0</v>
      </c>
      <c r="F52" s="343">
        <f>M52</f>
        <v>0</v>
      </c>
      <c r="G52" s="343">
        <f>N52</f>
        <v>0</v>
      </c>
      <c r="H52" s="343">
        <v>0</v>
      </c>
      <c r="I52" s="343">
        <v>0</v>
      </c>
      <c r="J52" s="343">
        <v>0</v>
      </c>
      <c r="K52" s="343">
        <v>0</v>
      </c>
      <c r="L52" s="343">
        <v>0</v>
      </c>
      <c r="M52" s="343">
        <v>0</v>
      </c>
      <c r="N52" s="343">
        <v>0</v>
      </c>
      <c r="O52" s="343">
        <v>0</v>
      </c>
      <c r="P52" s="343">
        <v>0</v>
      </c>
      <c r="Q52" s="343">
        <v>0</v>
      </c>
      <c r="R52" s="420">
        <v>2.1</v>
      </c>
      <c r="S52" s="407" t="s">
        <v>61</v>
      </c>
      <c r="T52" s="16" t="s">
        <v>178</v>
      </c>
      <c r="U52" s="276"/>
      <c r="V52" s="33"/>
      <c r="W52" s="22"/>
      <c r="X52" s="88"/>
      <c r="Y52" s="179"/>
    </row>
    <row r="53" spans="1:25" s="8" customFormat="1" ht="23.25" customHeight="1">
      <c r="A53" s="476"/>
      <c r="B53" s="477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421"/>
      <c r="S53" s="477"/>
      <c r="T53" s="16" t="s">
        <v>179</v>
      </c>
      <c r="U53" s="276"/>
      <c r="V53" s="33"/>
      <c r="W53" s="22"/>
      <c r="X53" s="88"/>
      <c r="Y53" s="179"/>
    </row>
    <row r="54" spans="1:25" s="8" customFormat="1" ht="15">
      <c r="A54" s="461"/>
      <c r="B54" s="466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422"/>
      <c r="S54" s="466"/>
      <c r="T54" s="16" t="s">
        <v>180</v>
      </c>
      <c r="U54" s="276"/>
      <c r="V54" s="22"/>
      <c r="W54" s="22"/>
      <c r="X54" s="88"/>
      <c r="Y54" s="179"/>
    </row>
    <row r="55" spans="1:25" s="8" customFormat="1" ht="30" customHeight="1">
      <c r="A55" s="389" t="s">
        <v>108</v>
      </c>
      <c r="B55" s="407" t="s">
        <v>62</v>
      </c>
      <c r="C55" s="343">
        <v>0</v>
      </c>
      <c r="D55" s="343">
        <v>0</v>
      </c>
      <c r="E55" s="343">
        <v>0</v>
      </c>
      <c r="F55" s="343">
        <f>M55</f>
        <v>0</v>
      </c>
      <c r="G55" s="343">
        <f>N55</f>
        <v>0</v>
      </c>
      <c r="H55" s="343">
        <v>0</v>
      </c>
      <c r="I55" s="343">
        <v>0</v>
      </c>
      <c r="J55" s="343">
        <v>0</v>
      </c>
      <c r="K55" s="343">
        <v>0</v>
      </c>
      <c r="L55" s="343">
        <v>0</v>
      </c>
      <c r="M55" s="343">
        <v>0</v>
      </c>
      <c r="N55" s="343">
        <v>0</v>
      </c>
      <c r="O55" s="343">
        <v>0</v>
      </c>
      <c r="P55" s="343">
        <v>0</v>
      </c>
      <c r="Q55" s="343">
        <v>0</v>
      </c>
      <c r="R55" s="420">
        <v>0</v>
      </c>
      <c r="S55" s="407" t="s">
        <v>62</v>
      </c>
      <c r="T55" s="451" t="s">
        <v>178</v>
      </c>
      <c r="U55" s="432">
        <v>29</v>
      </c>
      <c r="V55" s="453">
        <v>43122</v>
      </c>
      <c r="W55" s="455" t="s">
        <v>365</v>
      </c>
      <c r="X55" s="457">
        <v>79.37</v>
      </c>
      <c r="Y55" s="179"/>
    </row>
    <row r="56" spans="1:25" s="8" customFormat="1" ht="1.5" customHeight="1">
      <c r="A56" s="391"/>
      <c r="B56" s="466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422"/>
      <c r="S56" s="466"/>
      <c r="T56" s="452"/>
      <c r="U56" s="434"/>
      <c r="V56" s="454"/>
      <c r="W56" s="456"/>
      <c r="X56" s="458"/>
      <c r="Y56" s="179"/>
    </row>
    <row r="57" spans="1:25" s="8" customFormat="1" ht="25.5">
      <c r="A57" s="389" t="s">
        <v>110</v>
      </c>
      <c r="B57" s="407" t="s">
        <v>63</v>
      </c>
      <c r="C57" s="343">
        <v>0</v>
      </c>
      <c r="D57" s="343">
        <f>E57+F57</f>
        <v>148.6</v>
      </c>
      <c r="E57" s="343">
        <f>H57+I57+J57+K57+L57</f>
        <v>121.3</v>
      </c>
      <c r="F57" s="343">
        <f>M57+Q57</f>
        <v>27.3</v>
      </c>
      <c r="G57" s="343">
        <v>0</v>
      </c>
      <c r="H57" s="343">
        <v>0</v>
      </c>
      <c r="I57" s="343">
        <v>0</v>
      </c>
      <c r="J57" s="343">
        <v>0</v>
      </c>
      <c r="K57" s="343">
        <v>0</v>
      </c>
      <c r="L57" s="343">
        <v>121.3</v>
      </c>
      <c r="M57" s="343">
        <v>0</v>
      </c>
      <c r="N57" s="343">
        <v>0</v>
      </c>
      <c r="O57" s="343">
        <v>0</v>
      </c>
      <c r="P57" s="343">
        <v>0</v>
      </c>
      <c r="Q57" s="343">
        <v>27.3</v>
      </c>
      <c r="R57" s="420">
        <v>0</v>
      </c>
      <c r="S57" s="407" t="s">
        <v>63</v>
      </c>
      <c r="T57" s="16" t="s">
        <v>184</v>
      </c>
      <c r="U57" s="275"/>
      <c r="V57" s="22"/>
      <c r="W57" s="22"/>
      <c r="X57" s="88"/>
      <c r="Y57" s="179"/>
    </row>
    <row r="58" spans="1:25" s="8" customFormat="1" ht="15">
      <c r="A58" s="391"/>
      <c r="B58" s="466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422"/>
      <c r="S58" s="466"/>
      <c r="T58" s="16" t="s">
        <v>185</v>
      </c>
      <c r="U58" s="275"/>
      <c r="V58" s="22"/>
      <c r="W58" s="22"/>
      <c r="X58" s="88"/>
      <c r="Y58" s="179"/>
    </row>
    <row r="59" spans="1:25" s="8" customFormat="1" ht="30.75" customHeight="1">
      <c r="A59" s="178" t="s">
        <v>111</v>
      </c>
      <c r="B59" s="199" t="s">
        <v>64</v>
      </c>
      <c r="C59" s="186">
        <v>0</v>
      </c>
      <c r="D59" s="332">
        <f>E59++F59+R59</f>
        <v>515</v>
      </c>
      <c r="E59" s="215">
        <f>L59+K59+J59</f>
        <v>87.4</v>
      </c>
      <c r="F59" s="215">
        <f>M59+O59+P59+Q59</f>
        <v>382.9</v>
      </c>
      <c r="G59" s="317">
        <v>0</v>
      </c>
      <c r="H59" s="186">
        <v>0</v>
      </c>
      <c r="I59" s="186">
        <v>0</v>
      </c>
      <c r="J59" s="186">
        <v>45.9</v>
      </c>
      <c r="K59" s="186">
        <v>41.5</v>
      </c>
      <c r="L59" s="205">
        <v>0</v>
      </c>
      <c r="M59" s="215">
        <v>93.6</v>
      </c>
      <c r="N59" s="224">
        <v>0</v>
      </c>
      <c r="O59" s="234">
        <v>124.1</v>
      </c>
      <c r="P59" s="241">
        <v>41.8</v>
      </c>
      <c r="Q59" s="263">
        <v>123.4</v>
      </c>
      <c r="R59" s="332">
        <v>44.7</v>
      </c>
      <c r="S59" s="199" t="s">
        <v>64</v>
      </c>
      <c r="T59" s="16" t="s">
        <v>188</v>
      </c>
      <c r="U59" s="275"/>
      <c r="V59" s="22"/>
      <c r="W59" s="22"/>
      <c r="X59" s="88"/>
      <c r="Y59" s="179"/>
    </row>
    <row r="60" spans="1:25" s="8" customFormat="1" ht="24.75" customHeight="1">
      <c r="A60" s="269" t="s">
        <v>112</v>
      </c>
      <c r="B60" s="199" t="s">
        <v>152</v>
      </c>
      <c r="C60" s="186">
        <v>0</v>
      </c>
      <c r="D60" s="186">
        <f>H60+I60+J60+K60+L60</f>
        <v>0</v>
      </c>
      <c r="E60" s="215">
        <f>I60+J60+K60+L60+M60</f>
        <v>0</v>
      </c>
      <c r="F60" s="241">
        <f>M60+O60+P60</f>
        <v>0</v>
      </c>
      <c r="G60" s="317">
        <f>N60+P60+Q60</f>
        <v>0</v>
      </c>
      <c r="H60" s="186">
        <v>0</v>
      </c>
      <c r="I60" s="186">
        <v>0</v>
      </c>
      <c r="J60" s="186">
        <v>0</v>
      </c>
      <c r="K60" s="186">
        <v>0</v>
      </c>
      <c r="L60" s="205">
        <v>0</v>
      </c>
      <c r="M60" s="215">
        <v>0</v>
      </c>
      <c r="N60" s="224">
        <v>0</v>
      </c>
      <c r="O60" s="234">
        <v>0</v>
      </c>
      <c r="P60" s="241">
        <v>0</v>
      </c>
      <c r="Q60" s="263">
        <v>0</v>
      </c>
      <c r="R60" s="332">
        <v>0</v>
      </c>
      <c r="S60" s="199" t="s">
        <v>152</v>
      </c>
      <c r="T60" s="16" t="s">
        <v>190</v>
      </c>
      <c r="U60" s="275">
        <v>111</v>
      </c>
      <c r="V60" s="22">
        <v>42086</v>
      </c>
      <c r="W60" s="198"/>
      <c r="X60" s="88">
        <v>7534.1</v>
      </c>
      <c r="Y60" s="179"/>
    </row>
    <row r="61" spans="1:25" s="8" customFormat="1" ht="25.5" customHeight="1">
      <c r="A61" s="269" t="s">
        <v>400</v>
      </c>
      <c r="B61" s="199" t="s">
        <v>153</v>
      </c>
      <c r="C61" s="186">
        <v>0</v>
      </c>
      <c r="D61" s="205">
        <f>E61+F61+G61</f>
        <v>2175.6</v>
      </c>
      <c r="E61" s="215">
        <f>I61+J61+K61+L61+M61</f>
        <v>1303.2</v>
      </c>
      <c r="F61" s="241">
        <f>M61+O61+P61</f>
        <v>0</v>
      </c>
      <c r="G61" s="317">
        <v>872.4</v>
      </c>
      <c r="H61" s="186">
        <v>0</v>
      </c>
      <c r="I61" s="186">
        <v>0</v>
      </c>
      <c r="J61" s="186">
        <v>0</v>
      </c>
      <c r="K61" s="186">
        <v>1303.2</v>
      </c>
      <c r="L61" s="205">
        <v>0</v>
      </c>
      <c r="M61" s="215">
        <v>0</v>
      </c>
      <c r="N61" s="224">
        <v>0</v>
      </c>
      <c r="O61" s="234">
        <v>0</v>
      </c>
      <c r="P61" s="241">
        <v>0</v>
      </c>
      <c r="Q61" s="263">
        <v>0</v>
      </c>
      <c r="R61" s="332">
        <v>0</v>
      </c>
      <c r="S61" s="199" t="s">
        <v>153</v>
      </c>
      <c r="T61" s="16" t="s">
        <v>191</v>
      </c>
      <c r="U61" s="275">
        <v>344</v>
      </c>
      <c r="V61" s="22">
        <v>42979</v>
      </c>
      <c r="W61" s="294" t="s">
        <v>365</v>
      </c>
      <c r="X61" s="88" t="s">
        <v>192</v>
      </c>
      <c r="Y61" s="179"/>
    </row>
    <row r="62" spans="1:25" s="8" customFormat="1" ht="25.5" customHeight="1">
      <c r="A62" s="269" t="s">
        <v>113</v>
      </c>
      <c r="B62" s="249" t="s">
        <v>369</v>
      </c>
      <c r="C62" s="251">
        <v>0</v>
      </c>
      <c r="D62" s="251">
        <f>F62</f>
        <v>24.3</v>
      </c>
      <c r="E62" s="251">
        <v>0</v>
      </c>
      <c r="F62" s="251">
        <f>Q62</f>
        <v>24.3</v>
      </c>
      <c r="G62" s="317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63">
        <v>24.3</v>
      </c>
      <c r="R62" s="332">
        <v>0</v>
      </c>
      <c r="S62" s="249" t="s">
        <v>369</v>
      </c>
      <c r="T62" s="16" t="s">
        <v>370</v>
      </c>
      <c r="U62" s="275">
        <v>476</v>
      </c>
      <c r="V62" s="22">
        <v>43039</v>
      </c>
      <c r="W62" s="298">
        <v>43404</v>
      </c>
      <c r="X62" s="88">
        <v>1587</v>
      </c>
      <c r="Y62" s="254"/>
    </row>
    <row r="63" spans="1:25" s="8" customFormat="1" ht="25.5" customHeight="1">
      <c r="A63" s="389" t="s">
        <v>114</v>
      </c>
      <c r="B63" s="449" t="s">
        <v>371</v>
      </c>
      <c r="C63" s="343">
        <v>0</v>
      </c>
      <c r="D63" s="420">
        <f>G63+R63</f>
        <v>745.6</v>
      </c>
      <c r="E63" s="343">
        <v>0</v>
      </c>
      <c r="F63" s="343">
        <v>0</v>
      </c>
      <c r="G63" s="343">
        <v>476.3</v>
      </c>
      <c r="H63" s="343">
        <v>0</v>
      </c>
      <c r="I63" s="343">
        <v>0</v>
      </c>
      <c r="J63" s="343">
        <v>0</v>
      </c>
      <c r="K63" s="343">
        <v>0</v>
      </c>
      <c r="L63" s="343">
        <v>0</v>
      </c>
      <c r="M63" s="343">
        <v>0</v>
      </c>
      <c r="N63" s="343">
        <v>0</v>
      </c>
      <c r="O63" s="343">
        <v>0</v>
      </c>
      <c r="P63" s="343">
        <v>0</v>
      </c>
      <c r="Q63" s="343">
        <v>0</v>
      </c>
      <c r="R63" s="420">
        <v>269.3</v>
      </c>
      <c r="S63" s="449" t="s">
        <v>371</v>
      </c>
      <c r="T63" s="305" t="s">
        <v>420</v>
      </c>
      <c r="U63" s="295">
        <v>619</v>
      </c>
      <c r="V63" s="296">
        <v>43098</v>
      </c>
      <c r="W63" s="298">
        <v>43463</v>
      </c>
      <c r="X63" s="88">
        <v>317.1</v>
      </c>
      <c r="Y63" s="254"/>
    </row>
    <row r="64" spans="1:25" s="8" customFormat="1" ht="25.5" customHeight="1">
      <c r="A64" s="461"/>
      <c r="B64" s="450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422"/>
      <c r="S64" s="450"/>
      <c r="T64" s="304" t="s">
        <v>421</v>
      </c>
      <c r="U64" s="275" t="s">
        <v>372</v>
      </c>
      <c r="V64" s="297">
        <v>43075</v>
      </c>
      <c r="W64" s="294" t="s">
        <v>365</v>
      </c>
      <c r="X64" s="88">
        <v>396.9</v>
      </c>
      <c r="Y64" s="254"/>
    </row>
    <row r="65" spans="1:25" s="8" customFormat="1" ht="25.5" customHeight="1">
      <c r="A65" s="300" t="s">
        <v>115</v>
      </c>
      <c r="B65" s="301" t="s">
        <v>373</v>
      </c>
      <c r="C65" s="246">
        <v>0</v>
      </c>
      <c r="D65" s="334">
        <f>G65+R65</f>
        <v>150.6</v>
      </c>
      <c r="E65" s="246">
        <v>0</v>
      </c>
      <c r="F65" s="246">
        <v>0</v>
      </c>
      <c r="G65" s="316">
        <v>88.5</v>
      </c>
      <c r="H65" s="263">
        <v>0</v>
      </c>
      <c r="I65" s="263">
        <v>0</v>
      </c>
      <c r="J65" s="263">
        <v>0</v>
      </c>
      <c r="K65" s="263">
        <v>0</v>
      </c>
      <c r="L65" s="263">
        <v>0</v>
      </c>
      <c r="M65" s="263">
        <v>0</v>
      </c>
      <c r="N65" s="263">
        <v>0</v>
      </c>
      <c r="O65" s="263">
        <v>0</v>
      </c>
      <c r="P65" s="246">
        <v>0</v>
      </c>
      <c r="Q65" s="262">
        <v>0</v>
      </c>
      <c r="R65" s="334">
        <v>62.1</v>
      </c>
      <c r="S65" s="301" t="s">
        <v>373</v>
      </c>
      <c r="T65" s="299" t="s">
        <v>423</v>
      </c>
      <c r="U65" s="275" t="s">
        <v>422</v>
      </c>
      <c r="V65" s="297">
        <v>43073</v>
      </c>
      <c r="W65" s="294" t="s">
        <v>365</v>
      </c>
      <c r="X65" s="88">
        <v>130</v>
      </c>
      <c r="Y65" s="254"/>
    </row>
    <row r="66" spans="1:25" s="8" customFormat="1" ht="25.5" customHeight="1">
      <c r="A66" s="300" t="s">
        <v>116</v>
      </c>
      <c r="B66" s="301" t="s">
        <v>374</v>
      </c>
      <c r="C66" s="246">
        <v>0</v>
      </c>
      <c r="D66" s="334">
        <f>G66+R66</f>
        <v>590.6</v>
      </c>
      <c r="E66" s="246">
        <v>0</v>
      </c>
      <c r="F66" s="246">
        <v>0</v>
      </c>
      <c r="G66" s="316">
        <v>30.6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0</v>
      </c>
      <c r="N66" s="263">
        <v>0</v>
      </c>
      <c r="O66" s="263">
        <v>0</v>
      </c>
      <c r="P66" s="246">
        <v>0</v>
      </c>
      <c r="Q66" s="262">
        <v>0</v>
      </c>
      <c r="R66" s="334">
        <v>560</v>
      </c>
      <c r="S66" s="301" t="s">
        <v>374</v>
      </c>
      <c r="T66" s="299" t="s">
        <v>419</v>
      </c>
      <c r="U66" s="275">
        <v>570</v>
      </c>
      <c r="V66" s="297">
        <v>43080</v>
      </c>
      <c r="W66" s="302">
        <v>43445</v>
      </c>
      <c r="X66" s="88">
        <v>831.5</v>
      </c>
      <c r="Y66" s="254"/>
    </row>
    <row r="67" spans="1:25" s="8" customFormat="1" ht="25.5" customHeight="1">
      <c r="A67" s="300" t="s">
        <v>117</v>
      </c>
      <c r="B67" s="301" t="s">
        <v>375</v>
      </c>
      <c r="C67" s="246">
        <v>0</v>
      </c>
      <c r="D67" s="334">
        <f>G67+R67</f>
        <v>70.5</v>
      </c>
      <c r="E67" s="246">
        <v>0</v>
      </c>
      <c r="F67" s="246">
        <v>0</v>
      </c>
      <c r="G67" s="316">
        <v>40.8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  <c r="N67" s="263">
        <v>0</v>
      </c>
      <c r="O67" s="263">
        <v>0</v>
      </c>
      <c r="P67" s="246">
        <v>0</v>
      </c>
      <c r="Q67" s="262">
        <v>0</v>
      </c>
      <c r="R67" s="334">
        <v>29.7</v>
      </c>
      <c r="S67" s="301" t="s">
        <v>375</v>
      </c>
      <c r="T67" s="299" t="s">
        <v>424</v>
      </c>
      <c r="U67" s="275">
        <v>500</v>
      </c>
      <c r="V67" s="297">
        <v>43048</v>
      </c>
      <c r="W67" s="294" t="s">
        <v>365</v>
      </c>
      <c r="X67" s="88">
        <v>99.9</v>
      </c>
      <c r="Y67" s="254"/>
    </row>
    <row r="68" spans="1:25" s="8" customFormat="1" ht="25.5" customHeight="1">
      <c r="A68" s="300" t="s">
        <v>118</v>
      </c>
      <c r="B68" s="301" t="s">
        <v>376</v>
      </c>
      <c r="C68" s="246">
        <v>0</v>
      </c>
      <c r="D68" s="334">
        <f>G68+R68</f>
        <v>367.8</v>
      </c>
      <c r="E68" s="246">
        <v>0</v>
      </c>
      <c r="F68" s="246">
        <v>0</v>
      </c>
      <c r="G68" s="316">
        <v>367.8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46">
        <v>0</v>
      </c>
      <c r="Q68" s="262">
        <v>0</v>
      </c>
      <c r="R68" s="334">
        <v>0</v>
      </c>
      <c r="S68" s="301" t="s">
        <v>376</v>
      </c>
      <c r="T68" s="299" t="s">
        <v>425</v>
      </c>
      <c r="U68" s="275">
        <v>517</v>
      </c>
      <c r="V68" s="297">
        <v>43059</v>
      </c>
      <c r="W68" s="294" t="s">
        <v>365</v>
      </c>
      <c r="X68" s="88">
        <v>367.8</v>
      </c>
      <c r="Y68" s="254"/>
    </row>
    <row r="69" spans="1:25" s="8" customFormat="1" ht="25.5" customHeight="1">
      <c r="A69" s="300" t="s">
        <v>401</v>
      </c>
      <c r="B69" s="301" t="s">
        <v>377</v>
      </c>
      <c r="C69" s="246">
        <v>0</v>
      </c>
      <c r="D69" s="246">
        <v>0</v>
      </c>
      <c r="E69" s="246">
        <v>0</v>
      </c>
      <c r="F69" s="246">
        <v>0</v>
      </c>
      <c r="G69" s="316">
        <v>0</v>
      </c>
      <c r="H69" s="263">
        <v>0</v>
      </c>
      <c r="I69" s="263">
        <v>0</v>
      </c>
      <c r="J69" s="263">
        <v>0</v>
      </c>
      <c r="K69" s="263">
        <v>0</v>
      </c>
      <c r="L69" s="263">
        <v>0</v>
      </c>
      <c r="M69" s="263">
        <v>0</v>
      </c>
      <c r="N69" s="263">
        <v>0</v>
      </c>
      <c r="O69" s="263">
        <v>0</v>
      </c>
      <c r="P69" s="246">
        <v>0</v>
      </c>
      <c r="Q69" s="262">
        <v>0</v>
      </c>
      <c r="R69" s="334">
        <v>0</v>
      </c>
      <c r="S69" s="301" t="s">
        <v>377</v>
      </c>
      <c r="T69" s="299" t="s">
        <v>426</v>
      </c>
      <c r="U69" s="275">
        <v>432</v>
      </c>
      <c r="V69" s="297">
        <v>43019</v>
      </c>
      <c r="W69" s="294" t="s">
        <v>365</v>
      </c>
      <c r="X69" s="88">
        <v>121.6</v>
      </c>
      <c r="Y69" s="254"/>
    </row>
    <row r="70" spans="1:25" s="8" customFormat="1" ht="25.5" customHeight="1">
      <c r="A70" s="300" t="s">
        <v>402</v>
      </c>
      <c r="B70" s="301" t="s">
        <v>378</v>
      </c>
      <c r="C70" s="246">
        <v>0</v>
      </c>
      <c r="D70" s="334">
        <f>R70</f>
        <v>805.6</v>
      </c>
      <c r="E70" s="246">
        <v>0</v>
      </c>
      <c r="F70" s="246">
        <v>0</v>
      </c>
      <c r="G70" s="316">
        <v>0</v>
      </c>
      <c r="H70" s="263">
        <v>0</v>
      </c>
      <c r="I70" s="263">
        <v>0</v>
      </c>
      <c r="J70" s="263">
        <v>0</v>
      </c>
      <c r="K70" s="263">
        <v>0</v>
      </c>
      <c r="L70" s="263">
        <v>0</v>
      </c>
      <c r="M70" s="263">
        <v>0</v>
      </c>
      <c r="N70" s="263">
        <v>0</v>
      </c>
      <c r="O70" s="263">
        <v>0</v>
      </c>
      <c r="P70" s="246">
        <v>0</v>
      </c>
      <c r="Q70" s="262">
        <v>0</v>
      </c>
      <c r="R70" s="334">
        <v>805.6</v>
      </c>
      <c r="S70" s="301" t="s">
        <v>378</v>
      </c>
      <c r="T70" s="299" t="s">
        <v>419</v>
      </c>
      <c r="U70" s="275">
        <v>604</v>
      </c>
      <c r="V70" s="297">
        <v>43090</v>
      </c>
      <c r="W70" s="64">
        <v>43455</v>
      </c>
      <c r="X70" s="88">
        <v>677.9</v>
      </c>
      <c r="Y70" s="254"/>
    </row>
    <row r="71" spans="1:25" s="8" customFormat="1" ht="25.5" customHeight="1">
      <c r="A71" s="300" t="s">
        <v>119</v>
      </c>
      <c r="B71" s="301" t="s">
        <v>379</v>
      </c>
      <c r="C71" s="246">
        <v>0</v>
      </c>
      <c r="D71" s="334">
        <f>R71</f>
        <v>100</v>
      </c>
      <c r="E71" s="246">
        <v>0</v>
      </c>
      <c r="F71" s="246">
        <v>0</v>
      </c>
      <c r="G71" s="316">
        <v>0</v>
      </c>
      <c r="H71" s="263">
        <v>0</v>
      </c>
      <c r="I71" s="263">
        <v>0</v>
      </c>
      <c r="J71" s="263">
        <v>0</v>
      </c>
      <c r="K71" s="263">
        <v>0</v>
      </c>
      <c r="L71" s="263">
        <v>0</v>
      </c>
      <c r="M71" s="263">
        <v>0</v>
      </c>
      <c r="N71" s="263">
        <v>0</v>
      </c>
      <c r="O71" s="263">
        <v>0</v>
      </c>
      <c r="P71" s="246">
        <v>0</v>
      </c>
      <c r="Q71" s="262">
        <v>0</v>
      </c>
      <c r="R71" s="334">
        <v>100</v>
      </c>
      <c r="S71" s="301" t="s">
        <v>379</v>
      </c>
      <c r="T71" s="299" t="s">
        <v>427</v>
      </c>
      <c r="U71" s="275">
        <v>528</v>
      </c>
      <c r="V71" s="297">
        <v>43062</v>
      </c>
      <c r="W71" s="294" t="s">
        <v>365</v>
      </c>
      <c r="X71" s="88">
        <v>250</v>
      </c>
      <c r="Y71" s="254"/>
    </row>
    <row r="72" spans="1:25" s="8" customFormat="1" ht="25.5" customHeight="1">
      <c r="A72" s="300" t="s">
        <v>284</v>
      </c>
      <c r="B72" s="301" t="s">
        <v>380</v>
      </c>
      <c r="C72" s="246">
        <v>0</v>
      </c>
      <c r="D72" s="334">
        <f>R72</f>
        <v>229.9</v>
      </c>
      <c r="E72" s="246">
        <v>0</v>
      </c>
      <c r="F72" s="246">
        <v>0</v>
      </c>
      <c r="G72" s="316">
        <v>0</v>
      </c>
      <c r="H72" s="263">
        <v>0</v>
      </c>
      <c r="I72" s="263">
        <v>0</v>
      </c>
      <c r="J72" s="263">
        <v>0</v>
      </c>
      <c r="K72" s="263">
        <v>0</v>
      </c>
      <c r="L72" s="263">
        <v>0</v>
      </c>
      <c r="M72" s="263">
        <v>0</v>
      </c>
      <c r="N72" s="263">
        <v>0</v>
      </c>
      <c r="O72" s="263">
        <v>0</v>
      </c>
      <c r="P72" s="246">
        <v>0</v>
      </c>
      <c r="Q72" s="262">
        <v>0</v>
      </c>
      <c r="R72" s="334">
        <v>229.9</v>
      </c>
      <c r="S72" s="301" t="s">
        <v>380</v>
      </c>
      <c r="T72" s="299" t="s">
        <v>428</v>
      </c>
      <c r="U72" s="275">
        <v>530</v>
      </c>
      <c r="V72" s="297">
        <v>43062</v>
      </c>
      <c r="W72" s="294" t="s">
        <v>365</v>
      </c>
      <c r="X72" s="88">
        <v>995</v>
      </c>
      <c r="Y72" s="254"/>
    </row>
    <row r="73" spans="1:25" s="8" customFormat="1" ht="25.5" customHeight="1">
      <c r="A73" s="300" t="s">
        <v>285</v>
      </c>
      <c r="B73" s="301" t="s">
        <v>381</v>
      </c>
      <c r="C73" s="246">
        <v>0</v>
      </c>
      <c r="D73" s="246">
        <f>G73</f>
        <v>46.8</v>
      </c>
      <c r="E73" s="246">
        <v>0</v>
      </c>
      <c r="F73" s="246">
        <v>0</v>
      </c>
      <c r="G73" s="316">
        <v>46.8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0</v>
      </c>
      <c r="N73" s="263">
        <v>0</v>
      </c>
      <c r="O73" s="263">
        <v>0</v>
      </c>
      <c r="P73" s="246">
        <v>0</v>
      </c>
      <c r="Q73" s="262">
        <v>0</v>
      </c>
      <c r="R73" s="334">
        <v>0</v>
      </c>
      <c r="S73" s="301" t="s">
        <v>381</v>
      </c>
      <c r="T73" s="299" t="s">
        <v>429</v>
      </c>
      <c r="U73" s="275">
        <v>603</v>
      </c>
      <c r="V73" s="297">
        <v>43090</v>
      </c>
      <c r="W73" s="64">
        <v>43455</v>
      </c>
      <c r="X73" s="88">
        <v>23.3</v>
      </c>
      <c r="Y73" s="254"/>
    </row>
    <row r="74" spans="1:25" s="8" customFormat="1" ht="25.5" customHeight="1">
      <c r="A74" s="300" t="s">
        <v>292</v>
      </c>
      <c r="B74" s="301" t="s">
        <v>382</v>
      </c>
      <c r="C74" s="246">
        <v>0</v>
      </c>
      <c r="D74" s="246">
        <f>G74</f>
        <v>421.2</v>
      </c>
      <c r="E74" s="246">
        <v>0</v>
      </c>
      <c r="F74" s="246">
        <v>0</v>
      </c>
      <c r="G74" s="316">
        <v>421.2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  <c r="O74" s="263">
        <v>0</v>
      </c>
      <c r="P74" s="246">
        <v>0</v>
      </c>
      <c r="Q74" s="262">
        <v>0</v>
      </c>
      <c r="R74" s="334">
        <v>0</v>
      </c>
      <c r="S74" s="301" t="s">
        <v>382</v>
      </c>
      <c r="T74" s="299" t="s">
        <v>430</v>
      </c>
      <c r="U74" s="275">
        <v>40</v>
      </c>
      <c r="V74" s="297">
        <v>43125</v>
      </c>
      <c r="W74" s="64">
        <v>43490</v>
      </c>
      <c r="X74" s="88">
        <v>421.2</v>
      </c>
      <c r="Y74" s="254"/>
    </row>
    <row r="75" spans="1:25" s="8" customFormat="1" ht="25.5">
      <c r="A75" s="300" t="s">
        <v>403</v>
      </c>
      <c r="B75" s="63" t="s">
        <v>65</v>
      </c>
      <c r="C75" s="186"/>
      <c r="D75" s="205">
        <f>E75+F75+G75</f>
        <v>600</v>
      </c>
      <c r="E75" s="215">
        <f aca="true" t="shared" si="8" ref="E75:E85">I75+J75+K75+L75+M75</f>
        <v>300</v>
      </c>
      <c r="F75" s="241">
        <f>M75+O75+P75</f>
        <v>0</v>
      </c>
      <c r="G75" s="317">
        <v>300</v>
      </c>
      <c r="H75" s="186">
        <v>0</v>
      </c>
      <c r="I75" s="186">
        <v>0</v>
      </c>
      <c r="J75" s="186">
        <v>0</v>
      </c>
      <c r="K75" s="186">
        <v>0</v>
      </c>
      <c r="L75" s="205">
        <v>300</v>
      </c>
      <c r="M75" s="215">
        <v>0</v>
      </c>
      <c r="N75" s="224">
        <v>0</v>
      </c>
      <c r="O75" s="234">
        <v>0</v>
      </c>
      <c r="P75" s="241">
        <v>0</v>
      </c>
      <c r="Q75" s="263">
        <v>0</v>
      </c>
      <c r="R75" s="332">
        <v>0</v>
      </c>
      <c r="S75" s="63" t="s">
        <v>65</v>
      </c>
      <c r="T75" s="37" t="s">
        <v>268</v>
      </c>
      <c r="U75" s="283" t="s">
        <v>267</v>
      </c>
      <c r="V75" s="298">
        <v>42825</v>
      </c>
      <c r="W75" s="198"/>
      <c r="X75" s="86">
        <v>8839.7</v>
      </c>
      <c r="Y75" s="179"/>
    </row>
    <row r="76" spans="1:25" s="8" customFormat="1" ht="31.5" customHeight="1">
      <c r="A76" s="300" t="s">
        <v>404</v>
      </c>
      <c r="B76" s="197" t="s">
        <v>67</v>
      </c>
      <c r="C76" s="186">
        <v>0</v>
      </c>
      <c r="D76" s="332">
        <f>F76+G76+R76</f>
        <v>131.39999999999998</v>
      </c>
      <c r="E76" s="215">
        <f t="shared" si="8"/>
        <v>0</v>
      </c>
      <c r="F76" s="215">
        <f>M76+N76+O76+P76</f>
        <v>65.69999999999999</v>
      </c>
      <c r="G76" s="317">
        <v>21.9</v>
      </c>
      <c r="H76" s="186">
        <v>0</v>
      </c>
      <c r="I76" s="186">
        <v>0</v>
      </c>
      <c r="J76" s="186">
        <v>0</v>
      </c>
      <c r="K76" s="186">
        <v>0</v>
      </c>
      <c r="L76" s="205">
        <v>0</v>
      </c>
      <c r="M76" s="215">
        <v>0</v>
      </c>
      <c r="N76" s="224">
        <v>43.8</v>
      </c>
      <c r="O76" s="234">
        <v>0</v>
      </c>
      <c r="P76" s="241">
        <v>21.9</v>
      </c>
      <c r="Q76" s="263">
        <v>0</v>
      </c>
      <c r="R76" s="332">
        <v>43.8</v>
      </c>
      <c r="S76" s="197" t="s">
        <v>67</v>
      </c>
      <c r="T76" s="16" t="s">
        <v>196</v>
      </c>
      <c r="U76" s="275">
        <v>110</v>
      </c>
      <c r="V76" s="22">
        <v>42086</v>
      </c>
      <c r="W76" s="198"/>
      <c r="X76" s="88" t="s">
        <v>195</v>
      </c>
      <c r="Y76" s="179"/>
    </row>
    <row r="77" spans="1:25" s="8" customFormat="1" ht="26.25" customHeight="1">
      <c r="A77" s="300" t="s">
        <v>405</v>
      </c>
      <c r="B77" s="197" t="s">
        <v>68</v>
      </c>
      <c r="C77" s="186">
        <v>0</v>
      </c>
      <c r="D77" s="205">
        <f>F77</f>
        <v>41.1</v>
      </c>
      <c r="E77" s="215">
        <f t="shared" si="8"/>
        <v>0</v>
      </c>
      <c r="F77" s="241">
        <f aca="true" t="shared" si="9" ref="F77:G85">M77+N77+O77+P77</f>
        <v>41.1</v>
      </c>
      <c r="G77" s="317">
        <v>0</v>
      </c>
      <c r="H77" s="186">
        <v>0</v>
      </c>
      <c r="I77" s="186">
        <v>0</v>
      </c>
      <c r="J77" s="186">
        <v>0</v>
      </c>
      <c r="K77" s="186">
        <v>0</v>
      </c>
      <c r="L77" s="205">
        <v>0</v>
      </c>
      <c r="M77" s="215">
        <v>0</v>
      </c>
      <c r="N77" s="224">
        <v>0</v>
      </c>
      <c r="O77" s="234">
        <v>0</v>
      </c>
      <c r="P77" s="241">
        <v>41.1</v>
      </c>
      <c r="Q77" s="263">
        <v>0</v>
      </c>
      <c r="R77" s="332">
        <v>0</v>
      </c>
      <c r="S77" s="197" t="s">
        <v>68</v>
      </c>
      <c r="T77" s="16" t="s">
        <v>197</v>
      </c>
      <c r="U77" s="275" t="s">
        <v>367</v>
      </c>
      <c r="V77" s="33">
        <v>43424</v>
      </c>
      <c r="W77" s="294" t="s">
        <v>365</v>
      </c>
      <c r="X77" s="88"/>
      <c r="Y77" s="179"/>
    </row>
    <row r="78" spans="1:25" s="8" customFormat="1" ht="24.75" customHeight="1">
      <c r="A78" s="300" t="s">
        <v>406</v>
      </c>
      <c r="B78" s="197" t="s">
        <v>69</v>
      </c>
      <c r="C78" s="186">
        <v>0</v>
      </c>
      <c r="D78" s="205">
        <f>E78+F78+G78</f>
        <v>227.2</v>
      </c>
      <c r="E78" s="215">
        <f t="shared" si="8"/>
        <v>77.5</v>
      </c>
      <c r="F78" s="241">
        <f t="shared" si="9"/>
        <v>70.19999999999999</v>
      </c>
      <c r="G78" s="317">
        <v>79.5</v>
      </c>
      <c r="H78" s="186">
        <v>0</v>
      </c>
      <c r="I78" s="186">
        <v>0</v>
      </c>
      <c r="J78" s="186">
        <v>0</v>
      </c>
      <c r="K78" s="186">
        <v>77.5</v>
      </c>
      <c r="L78" s="205">
        <v>0</v>
      </c>
      <c r="M78" s="215">
        <v>0</v>
      </c>
      <c r="N78" s="224">
        <v>0</v>
      </c>
      <c r="O78" s="234">
        <v>43.8</v>
      </c>
      <c r="P78" s="241">
        <v>26.4</v>
      </c>
      <c r="Q78" s="263">
        <v>0</v>
      </c>
      <c r="R78" s="332">
        <v>0</v>
      </c>
      <c r="S78" s="197" t="s">
        <v>69</v>
      </c>
      <c r="T78" s="16" t="s">
        <v>198</v>
      </c>
      <c r="U78" s="275" t="s">
        <v>368</v>
      </c>
      <c r="V78" s="22">
        <v>43006</v>
      </c>
      <c r="W78" s="22"/>
      <c r="X78" s="88"/>
      <c r="Y78" s="179"/>
    </row>
    <row r="79" spans="1:25" s="8" customFormat="1" ht="25.5">
      <c r="A79" s="300" t="s">
        <v>407</v>
      </c>
      <c r="B79" s="197" t="s">
        <v>70</v>
      </c>
      <c r="C79" s="186">
        <v>0</v>
      </c>
      <c r="D79" s="332">
        <f>E79+F79+R79</f>
        <v>78.1</v>
      </c>
      <c r="E79" s="215">
        <f t="shared" si="8"/>
        <v>1.2</v>
      </c>
      <c r="F79" s="241">
        <f t="shared" si="9"/>
        <v>63.4</v>
      </c>
      <c r="G79" s="317">
        <v>0</v>
      </c>
      <c r="H79" s="186">
        <v>0</v>
      </c>
      <c r="I79" s="186">
        <v>0</v>
      </c>
      <c r="J79" s="186">
        <v>0</v>
      </c>
      <c r="K79" s="186">
        <v>1.2</v>
      </c>
      <c r="L79" s="205">
        <v>0</v>
      </c>
      <c r="M79" s="215">
        <v>0</v>
      </c>
      <c r="N79" s="224">
        <v>0</v>
      </c>
      <c r="O79" s="234">
        <v>0.9</v>
      </c>
      <c r="P79" s="241">
        <v>62.5</v>
      </c>
      <c r="Q79" s="263">
        <v>0</v>
      </c>
      <c r="R79" s="332">
        <v>13.5</v>
      </c>
      <c r="S79" s="197" t="s">
        <v>70</v>
      </c>
      <c r="T79" s="16" t="s">
        <v>200</v>
      </c>
      <c r="U79" s="275">
        <v>220</v>
      </c>
      <c r="V79" s="22">
        <v>42907</v>
      </c>
      <c r="W79" s="64">
        <v>43100</v>
      </c>
      <c r="X79" s="88">
        <v>171.4</v>
      </c>
      <c r="Y79" s="179"/>
    </row>
    <row r="80" spans="1:25" s="8" customFormat="1" ht="38.25">
      <c r="A80" s="300" t="s">
        <v>408</v>
      </c>
      <c r="B80" s="197" t="s">
        <v>71</v>
      </c>
      <c r="C80" s="186">
        <v>0</v>
      </c>
      <c r="D80" s="205">
        <f aca="true" t="shared" si="10" ref="D80:D85">H80+I80+J80+K80+L80</f>
        <v>0</v>
      </c>
      <c r="E80" s="215">
        <f t="shared" si="8"/>
        <v>0</v>
      </c>
      <c r="F80" s="241">
        <f t="shared" si="9"/>
        <v>0</v>
      </c>
      <c r="G80" s="317">
        <v>0</v>
      </c>
      <c r="H80" s="186">
        <v>0</v>
      </c>
      <c r="I80" s="186">
        <v>0</v>
      </c>
      <c r="J80" s="186">
        <v>0</v>
      </c>
      <c r="K80" s="186">
        <v>0</v>
      </c>
      <c r="L80" s="205">
        <v>0</v>
      </c>
      <c r="M80" s="215">
        <v>0</v>
      </c>
      <c r="N80" s="224">
        <v>0</v>
      </c>
      <c r="O80" s="234">
        <v>0</v>
      </c>
      <c r="P80" s="241">
        <v>0</v>
      </c>
      <c r="Q80" s="263">
        <v>0</v>
      </c>
      <c r="R80" s="332">
        <v>0</v>
      </c>
      <c r="S80" s="197" t="s">
        <v>71</v>
      </c>
      <c r="T80" s="37" t="s">
        <v>202</v>
      </c>
      <c r="U80" s="275">
        <v>310</v>
      </c>
      <c r="V80" s="33">
        <v>42545</v>
      </c>
      <c r="W80" s="22" t="s">
        <v>201</v>
      </c>
      <c r="X80" s="88">
        <v>217.1</v>
      </c>
      <c r="Y80" s="179"/>
    </row>
    <row r="81" spans="1:25" s="8" customFormat="1" ht="25.5">
      <c r="A81" s="300" t="s">
        <v>409</v>
      </c>
      <c r="B81" s="197" t="s">
        <v>72</v>
      </c>
      <c r="C81" s="186">
        <v>0</v>
      </c>
      <c r="D81" s="205">
        <f t="shared" si="10"/>
        <v>0</v>
      </c>
      <c r="E81" s="215">
        <f t="shared" si="8"/>
        <v>0</v>
      </c>
      <c r="F81" s="241">
        <f t="shared" si="9"/>
        <v>0</v>
      </c>
      <c r="G81" s="317">
        <f t="shared" si="9"/>
        <v>0</v>
      </c>
      <c r="H81" s="186">
        <v>0</v>
      </c>
      <c r="I81" s="186">
        <v>0</v>
      </c>
      <c r="J81" s="186">
        <v>0</v>
      </c>
      <c r="K81" s="186">
        <v>0</v>
      </c>
      <c r="L81" s="205">
        <v>0</v>
      </c>
      <c r="M81" s="215">
        <v>0</v>
      </c>
      <c r="N81" s="224">
        <v>0</v>
      </c>
      <c r="O81" s="234">
        <v>0</v>
      </c>
      <c r="P81" s="241">
        <v>0</v>
      </c>
      <c r="Q81" s="263">
        <v>0</v>
      </c>
      <c r="R81" s="332">
        <v>0</v>
      </c>
      <c r="S81" s="197" t="s">
        <v>72</v>
      </c>
      <c r="T81" s="16" t="s">
        <v>204</v>
      </c>
      <c r="U81" s="275">
        <v>653</v>
      </c>
      <c r="V81" s="22">
        <v>42702</v>
      </c>
      <c r="W81" s="294" t="s">
        <v>365</v>
      </c>
      <c r="X81" s="88">
        <v>148.1</v>
      </c>
      <c r="Y81" s="179"/>
    </row>
    <row r="82" spans="1:25" s="8" customFormat="1" ht="27" customHeight="1">
      <c r="A82" s="300" t="s">
        <v>410</v>
      </c>
      <c r="B82" s="197" t="s">
        <v>73</v>
      </c>
      <c r="C82" s="186">
        <v>0</v>
      </c>
      <c r="D82" s="205">
        <f t="shared" si="10"/>
        <v>74.2</v>
      </c>
      <c r="E82" s="215">
        <f t="shared" si="8"/>
        <v>74.2</v>
      </c>
      <c r="F82" s="241">
        <f t="shared" si="9"/>
        <v>0</v>
      </c>
      <c r="G82" s="317">
        <f t="shared" si="9"/>
        <v>0</v>
      </c>
      <c r="H82" s="186">
        <v>0</v>
      </c>
      <c r="I82" s="186">
        <v>1.3</v>
      </c>
      <c r="J82" s="186">
        <v>0</v>
      </c>
      <c r="K82" s="186">
        <v>72.9</v>
      </c>
      <c r="L82" s="205">
        <v>0</v>
      </c>
      <c r="M82" s="215">
        <v>0</v>
      </c>
      <c r="N82" s="224">
        <v>0</v>
      </c>
      <c r="O82" s="234">
        <v>0</v>
      </c>
      <c r="P82" s="241">
        <v>0</v>
      </c>
      <c r="Q82" s="263">
        <v>0</v>
      </c>
      <c r="R82" s="332">
        <v>0</v>
      </c>
      <c r="S82" s="197" t="s">
        <v>73</v>
      </c>
      <c r="T82" s="37"/>
      <c r="U82" s="283" t="s">
        <v>205</v>
      </c>
      <c r="V82" s="198"/>
      <c r="W82" s="198"/>
      <c r="X82" s="86"/>
      <c r="Y82" s="179"/>
    </row>
    <row r="83" spans="1:25" s="8" customFormat="1" ht="31.5" customHeight="1">
      <c r="A83" s="300" t="s">
        <v>411</v>
      </c>
      <c r="B83" s="199" t="s">
        <v>154</v>
      </c>
      <c r="C83" s="186">
        <v>0</v>
      </c>
      <c r="D83" s="205">
        <f>SUM(E83:F83)+G83</f>
        <v>921.8</v>
      </c>
      <c r="E83" s="215">
        <f t="shared" si="8"/>
        <v>460</v>
      </c>
      <c r="F83" s="241">
        <f>Q83</f>
        <v>11.8</v>
      </c>
      <c r="G83" s="317">
        <v>450</v>
      </c>
      <c r="H83" s="186">
        <v>0</v>
      </c>
      <c r="I83" s="186">
        <v>0</v>
      </c>
      <c r="J83" s="186">
        <v>230</v>
      </c>
      <c r="K83" s="186">
        <v>230</v>
      </c>
      <c r="L83" s="205">
        <v>0</v>
      </c>
      <c r="M83" s="215">
        <v>0</v>
      </c>
      <c r="N83" s="224">
        <v>0</v>
      </c>
      <c r="O83" s="234">
        <v>0</v>
      </c>
      <c r="P83" s="241">
        <v>0</v>
      </c>
      <c r="Q83" s="263">
        <v>11.8</v>
      </c>
      <c r="R83" s="332">
        <v>0</v>
      </c>
      <c r="S83" s="199" t="s">
        <v>154</v>
      </c>
      <c r="T83" s="37"/>
      <c r="U83" s="283" t="s">
        <v>205</v>
      </c>
      <c r="V83" s="198"/>
      <c r="W83" s="198"/>
      <c r="X83" s="86"/>
      <c r="Y83" s="179"/>
    </row>
    <row r="84" spans="1:25" s="8" customFormat="1" ht="21">
      <c r="A84" s="300" t="s">
        <v>412</v>
      </c>
      <c r="B84" s="199" t="s">
        <v>293</v>
      </c>
      <c r="C84" s="186">
        <v>0</v>
      </c>
      <c r="D84" s="205">
        <f>G84</f>
        <v>417.9</v>
      </c>
      <c r="E84" s="215">
        <f t="shared" si="8"/>
        <v>0</v>
      </c>
      <c r="F84" s="241">
        <f t="shared" si="9"/>
        <v>0</v>
      </c>
      <c r="G84" s="317">
        <v>417.9</v>
      </c>
      <c r="H84" s="186">
        <v>0</v>
      </c>
      <c r="I84" s="186">
        <v>0</v>
      </c>
      <c r="J84" s="186">
        <v>0</v>
      </c>
      <c r="K84" s="186">
        <v>0</v>
      </c>
      <c r="L84" s="205">
        <v>0</v>
      </c>
      <c r="M84" s="215">
        <v>0</v>
      </c>
      <c r="N84" s="224">
        <v>0</v>
      </c>
      <c r="O84" s="234">
        <v>0</v>
      </c>
      <c r="P84" s="241">
        <v>0</v>
      </c>
      <c r="Q84" s="263">
        <v>0</v>
      </c>
      <c r="R84" s="332">
        <v>0</v>
      </c>
      <c r="S84" s="199" t="s">
        <v>293</v>
      </c>
      <c r="T84" s="79" t="s">
        <v>294</v>
      </c>
      <c r="U84" s="288" t="s">
        <v>295</v>
      </c>
      <c r="V84" s="81">
        <v>42513</v>
      </c>
      <c r="W84" s="294" t="s">
        <v>365</v>
      </c>
      <c r="X84" s="86" t="s">
        <v>297</v>
      </c>
      <c r="Y84" s="179"/>
    </row>
    <row r="85" spans="1:25" s="8" customFormat="1" ht="21.75" customHeight="1">
      <c r="A85" s="300" t="s">
        <v>413</v>
      </c>
      <c r="B85" s="117" t="s">
        <v>302</v>
      </c>
      <c r="C85" s="186">
        <v>0</v>
      </c>
      <c r="D85" s="205">
        <f t="shared" si="10"/>
        <v>2451.4</v>
      </c>
      <c r="E85" s="215">
        <f t="shared" si="8"/>
        <v>2451.4</v>
      </c>
      <c r="F85" s="241">
        <f t="shared" si="9"/>
        <v>0</v>
      </c>
      <c r="G85" s="317">
        <f t="shared" si="9"/>
        <v>0</v>
      </c>
      <c r="H85" s="186">
        <v>0</v>
      </c>
      <c r="I85" s="183">
        <v>0</v>
      </c>
      <c r="J85" s="183">
        <v>2451.4</v>
      </c>
      <c r="K85" s="183">
        <v>0</v>
      </c>
      <c r="L85" s="204">
        <v>0</v>
      </c>
      <c r="M85" s="213">
        <v>0</v>
      </c>
      <c r="N85" s="223">
        <v>0</v>
      </c>
      <c r="O85" s="234">
        <v>0</v>
      </c>
      <c r="P85" s="241">
        <v>0</v>
      </c>
      <c r="Q85" s="263">
        <v>0</v>
      </c>
      <c r="R85" s="332">
        <v>0</v>
      </c>
      <c r="S85" s="117" t="s">
        <v>302</v>
      </c>
      <c r="T85" s="116" t="s">
        <v>303</v>
      </c>
      <c r="U85" s="248">
        <v>478</v>
      </c>
      <c r="V85" s="118">
        <v>43040</v>
      </c>
      <c r="W85" s="188"/>
      <c r="X85" s="190" t="s">
        <v>304</v>
      </c>
      <c r="Y85" s="179"/>
    </row>
    <row r="86" spans="1:25" s="8" customFormat="1" ht="30.75" customHeight="1" thickBot="1">
      <c r="A86" s="300" t="s">
        <v>414</v>
      </c>
      <c r="B86" s="120" t="s">
        <v>74</v>
      </c>
      <c r="C86" s="189">
        <v>0</v>
      </c>
      <c r="D86" s="333">
        <f>F86+E86+G86+R86</f>
        <v>4946.2</v>
      </c>
      <c r="E86" s="232">
        <f>I86+J86+K86+L86+H86</f>
        <v>1406.9</v>
      </c>
      <c r="F86" s="241">
        <f>M86+N86+O86+P86+Q86</f>
        <v>1202.1</v>
      </c>
      <c r="G86" s="317">
        <v>680.1</v>
      </c>
      <c r="H86" s="189">
        <v>386</v>
      </c>
      <c r="I86" s="189">
        <v>217.9</v>
      </c>
      <c r="J86" s="189">
        <v>83.6</v>
      </c>
      <c r="K86" s="189">
        <v>703.5</v>
      </c>
      <c r="L86" s="206">
        <v>15.9</v>
      </c>
      <c r="M86" s="214">
        <v>81.4</v>
      </c>
      <c r="N86" s="226">
        <v>294.8</v>
      </c>
      <c r="O86" s="232">
        <f>370.9-17.3</f>
        <v>353.59999999999997</v>
      </c>
      <c r="P86" s="239">
        <v>159.5</v>
      </c>
      <c r="Q86" s="261">
        <v>312.8</v>
      </c>
      <c r="R86" s="332">
        <v>1657.1</v>
      </c>
      <c r="S86" s="120" t="s">
        <v>74</v>
      </c>
      <c r="T86" s="121" t="s">
        <v>298</v>
      </c>
      <c r="U86" s="289"/>
      <c r="V86" s="184"/>
      <c r="W86" s="184"/>
      <c r="X86" s="187"/>
      <c r="Y86" s="179"/>
    </row>
    <row r="87" spans="1:25" s="78" customFormat="1" ht="33.75" customHeight="1" thickBot="1">
      <c r="A87" s="125" t="s">
        <v>120</v>
      </c>
      <c r="B87" s="126" t="s">
        <v>75</v>
      </c>
      <c r="C87" s="182">
        <v>0</v>
      </c>
      <c r="D87" s="182">
        <f aca="true" t="shared" si="11" ref="D87:K87">SUM(D89:D125)</f>
        <v>14926.2</v>
      </c>
      <c r="E87" s="182">
        <f t="shared" si="11"/>
        <v>4209.6</v>
      </c>
      <c r="F87" s="182">
        <f t="shared" si="11"/>
        <v>4620.200000000001</v>
      </c>
      <c r="G87" s="182">
        <f>SUM(G89:G125)</f>
        <v>2881.4</v>
      </c>
      <c r="H87" s="182">
        <f t="shared" si="11"/>
        <v>3.1999999999999997</v>
      </c>
      <c r="I87" s="182">
        <f t="shared" si="11"/>
        <v>329.09999999999997</v>
      </c>
      <c r="J87" s="182">
        <f t="shared" si="11"/>
        <v>582.4</v>
      </c>
      <c r="K87" s="182">
        <f t="shared" si="11"/>
        <v>2813.8999999999996</v>
      </c>
      <c r="L87" s="182">
        <f>SUM(L89:L135)</f>
        <v>481</v>
      </c>
      <c r="M87" s="182">
        <f aca="true" t="shared" si="12" ref="M87:R87">SUM(M89:M125)</f>
        <v>269.2</v>
      </c>
      <c r="N87" s="182">
        <f t="shared" si="12"/>
        <v>1235.8999999999999</v>
      </c>
      <c r="O87" s="182">
        <f t="shared" si="12"/>
        <v>1658.6000000000001</v>
      </c>
      <c r="P87" s="182">
        <f t="shared" si="12"/>
        <v>905.9</v>
      </c>
      <c r="Q87" s="182">
        <f t="shared" si="12"/>
        <v>550.6</v>
      </c>
      <c r="R87" s="335">
        <f t="shared" si="12"/>
        <v>3215</v>
      </c>
      <c r="S87" s="126" t="s">
        <v>75</v>
      </c>
      <c r="T87" s="127"/>
      <c r="U87" s="290"/>
      <c r="V87" s="128"/>
      <c r="W87" s="128"/>
      <c r="X87" s="129"/>
      <c r="Y87" s="77"/>
    </row>
    <row r="88" spans="1:25" s="8" customFormat="1" ht="15">
      <c r="A88" s="122"/>
      <c r="B88" s="123" t="s">
        <v>9</v>
      </c>
      <c r="C88" s="183"/>
      <c r="D88" s="183"/>
      <c r="E88" s="213"/>
      <c r="F88" s="213"/>
      <c r="G88" s="316"/>
      <c r="H88" s="183"/>
      <c r="I88" s="183"/>
      <c r="J88" s="183"/>
      <c r="K88" s="183"/>
      <c r="L88" s="204"/>
      <c r="M88" s="213"/>
      <c r="N88" s="223"/>
      <c r="O88" s="233"/>
      <c r="P88" s="240"/>
      <c r="Q88" s="262"/>
      <c r="R88" s="334"/>
      <c r="S88" s="123" t="s">
        <v>9</v>
      </c>
      <c r="T88" s="116"/>
      <c r="U88" s="248"/>
      <c r="V88" s="188"/>
      <c r="W88" s="188"/>
      <c r="X88" s="190"/>
      <c r="Y88" s="179"/>
    </row>
    <row r="89" spans="1:25" s="8" customFormat="1" ht="15">
      <c r="A89" s="389" t="s">
        <v>121</v>
      </c>
      <c r="B89" s="411" t="s">
        <v>76</v>
      </c>
      <c r="C89" s="343">
        <v>0</v>
      </c>
      <c r="D89" s="420">
        <f>R89</f>
        <v>50</v>
      </c>
      <c r="E89" s="343">
        <v>0</v>
      </c>
      <c r="F89" s="343">
        <f>M89</f>
        <v>0</v>
      </c>
      <c r="G89" s="343">
        <f>N89</f>
        <v>0</v>
      </c>
      <c r="H89" s="343">
        <v>0</v>
      </c>
      <c r="I89" s="343">
        <v>0</v>
      </c>
      <c r="J89" s="343">
        <v>0</v>
      </c>
      <c r="K89" s="343">
        <v>0</v>
      </c>
      <c r="L89" s="343">
        <v>0</v>
      </c>
      <c r="M89" s="343">
        <v>0</v>
      </c>
      <c r="N89" s="343">
        <v>0</v>
      </c>
      <c r="O89" s="343">
        <v>0</v>
      </c>
      <c r="P89" s="343">
        <v>0</v>
      </c>
      <c r="Q89" s="343">
        <v>0</v>
      </c>
      <c r="R89" s="420">
        <v>50</v>
      </c>
      <c r="S89" s="474" t="s">
        <v>76</v>
      </c>
      <c r="T89" s="16" t="s">
        <v>206</v>
      </c>
      <c r="U89" s="275">
        <v>3</v>
      </c>
      <c r="V89" s="22">
        <v>42380</v>
      </c>
      <c r="W89" s="22">
        <v>43120</v>
      </c>
      <c r="X89" s="86"/>
      <c r="Y89" s="179"/>
    </row>
    <row r="90" spans="1:25" s="8" customFormat="1" ht="15">
      <c r="A90" s="391"/>
      <c r="B90" s="472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422"/>
      <c r="S90" s="475"/>
      <c r="T90" s="16" t="s">
        <v>207</v>
      </c>
      <c r="U90" s="275">
        <v>700</v>
      </c>
      <c r="V90" s="22">
        <v>42731</v>
      </c>
      <c r="W90" s="22">
        <v>43461</v>
      </c>
      <c r="X90" s="86"/>
      <c r="Y90" s="179"/>
    </row>
    <row r="91" spans="1:25" s="8" customFormat="1" ht="25.5">
      <c r="A91" s="178" t="s">
        <v>122</v>
      </c>
      <c r="B91" s="195" t="s">
        <v>66</v>
      </c>
      <c r="C91" s="186">
        <v>0</v>
      </c>
      <c r="D91" s="332">
        <f>E91+F91+R91</f>
        <v>3804.3</v>
      </c>
      <c r="E91" s="215">
        <f>L91+K91+I91+J91+M91</f>
        <v>2204.3</v>
      </c>
      <c r="F91" s="212">
        <f>M91+N91+O91+P91</f>
        <v>1400</v>
      </c>
      <c r="G91" s="315">
        <v>0</v>
      </c>
      <c r="H91" s="186">
        <v>0</v>
      </c>
      <c r="I91" s="186">
        <v>0</v>
      </c>
      <c r="J91" s="186">
        <v>290</v>
      </c>
      <c r="K91" s="186">
        <v>1910</v>
      </c>
      <c r="L91" s="205">
        <v>4.3</v>
      </c>
      <c r="M91" s="215">
        <v>0</v>
      </c>
      <c r="N91" s="224">
        <v>1000</v>
      </c>
      <c r="O91" s="234">
        <v>400</v>
      </c>
      <c r="P91" s="241">
        <v>0</v>
      </c>
      <c r="Q91" s="263">
        <v>0</v>
      </c>
      <c r="R91" s="333">
        <v>200</v>
      </c>
      <c r="S91" s="195" t="s">
        <v>66</v>
      </c>
      <c r="T91" s="16" t="s">
        <v>194</v>
      </c>
      <c r="U91" s="275">
        <v>133</v>
      </c>
      <c r="V91" s="22">
        <v>42838</v>
      </c>
      <c r="W91" s="22">
        <v>43191</v>
      </c>
      <c r="X91" s="89">
        <v>9389.6</v>
      </c>
      <c r="Y91" s="179"/>
    </row>
    <row r="92" spans="1:25" s="8" customFormat="1" ht="25.5">
      <c r="A92" s="178" t="s">
        <v>123</v>
      </c>
      <c r="B92" s="195" t="s">
        <v>77</v>
      </c>
      <c r="C92" s="186">
        <v>0</v>
      </c>
      <c r="D92" s="332">
        <f>E92+F92+R92</f>
        <v>353</v>
      </c>
      <c r="E92" s="215">
        <f>L92+K92+J92</f>
        <v>139.3</v>
      </c>
      <c r="F92" s="212">
        <f>P92+O92+N92+Q92</f>
        <v>113.7</v>
      </c>
      <c r="G92" s="315">
        <v>0</v>
      </c>
      <c r="H92" s="186">
        <v>0</v>
      </c>
      <c r="I92" s="186">
        <v>0</v>
      </c>
      <c r="J92" s="186">
        <v>23.3</v>
      </c>
      <c r="K92" s="186">
        <v>116</v>
      </c>
      <c r="L92" s="205">
        <v>0</v>
      </c>
      <c r="M92" s="215">
        <v>0</v>
      </c>
      <c r="N92" s="224">
        <v>0</v>
      </c>
      <c r="O92" s="234">
        <v>0</v>
      </c>
      <c r="P92" s="241">
        <v>68</v>
      </c>
      <c r="Q92" s="263">
        <v>45.7</v>
      </c>
      <c r="R92" s="333">
        <v>100</v>
      </c>
      <c r="S92" s="195" t="s">
        <v>77</v>
      </c>
      <c r="T92" s="16" t="s">
        <v>209</v>
      </c>
      <c r="U92" s="275">
        <v>470</v>
      </c>
      <c r="V92" s="33">
        <v>42618</v>
      </c>
      <c r="W92" s="294" t="s">
        <v>365</v>
      </c>
      <c r="X92" s="89">
        <v>1020.9</v>
      </c>
      <c r="Y92" s="179"/>
    </row>
    <row r="93" spans="1:25" s="8" customFormat="1" ht="21">
      <c r="A93" s="389" t="s">
        <v>124</v>
      </c>
      <c r="B93" s="411" t="s">
        <v>78</v>
      </c>
      <c r="C93" s="343">
        <v>0</v>
      </c>
      <c r="D93" s="343">
        <f>H93+I93+J93+K93+L93</f>
        <v>0</v>
      </c>
      <c r="E93" s="343">
        <f>I93+J93+K93+L93+M93</f>
        <v>0</v>
      </c>
      <c r="F93" s="343">
        <f>M93</f>
        <v>0</v>
      </c>
      <c r="G93" s="343">
        <f>N93</f>
        <v>0</v>
      </c>
      <c r="H93" s="343">
        <v>0</v>
      </c>
      <c r="I93" s="343">
        <v>0</v>
      </c>
      <c r="J93" s="343">
        <v>0</v>
      </c>
      <c r="K93" s="343">
        <v>0</v>
      </c>
      <c r="L93" s="343">
        <v>0</v>
      </c>
      <c r="M93" s="343">
        <v>0</v>
      </c>
      <c r="N93" s="343">
        <v>0</v>
      </c>
      <c r="O93" s="343">
        <v>0</v>
      </c>
      <c r="P93" s="343">
        <v>0</v>
      </c>
      <c r="Q93" s="343">
        <v>0</v>
      </c>
      <c r="R93" s="420">
        <v>0</v>
      </c>
      <c r="S93" s="411" t="s">
        <v>78</v>
      </c>
      <c r="T93" s="16" t="s">
        <v>211</v>
      </c>
      <c r="U93" s="275">
        <v>154</v>
      </c>
      <c r="V93" s="22">
        <v>42493</v>
      </c>
      <c r="W93" s="294" t="s">
        <v>365</v>
      </c>
      <c r="X93" s="89">
        <v>643.3</v>
      </c>
      <c r="Y93" s="179"/>
    </row>
    <row r="94" spans="1:25" s="8" customFormat="1" ht="15">
      <c r="A94" s="391"/>
      <c r="B94" s="472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422"/>
      <c r="S94" s="472"/>
      <c r="T94" s="16" t="s">
        <v>212</v>
      </c>
      <c r="U94" s="275">
        <v>10</v>
      </c>
      <c r="V94" s="22">
        <v>42739</v>
      </c>
      <c r="W94" s="198"/>
      <c r="X94" s="89">
        <v>2394</v>
      </c>
      <c r="Y94" s="179"/>
    </row>
    <row r="95" spans="1:25" s="8" customFormat="1" ht="37.5" customHeight="1">
      <c r="A95" s="265" t="s">
        <v>125</v>
      </c>
      <c r="B95" s="258" t="s">
        <v>383</v>
      </c>
      <c r="C95" s="246">
        <v>0</v>
      </c>
      <c r="D95" s="334">
        <f>F95+G95+R95</f>
        <v>1155.6999999999998</v>
      </c>
      <c r="E95" s="246">
        <v>0</v>
      </c>
      <c r="F95" s="251">
        <f>Q95</f>
        <v>70.9</v>
      </c>
      <c r="G95" s="317">
        <v>817.8</v>
      </c>
      <c r="H95" s="246">
        <v>0</v>
      </c>
      <c r="I95" s="246">
        <v>0</v>
      </c>
      <c r="J95" s="246">
        <v>0</v>
      </c>
      <c r="K95" s="246">
        <v>0</v>
      </c>
      <c r="L95" s="246">
        <v>0</v>
      </c>
      <c r="M95" s="246">
        <v>0</v>
      </c>
      <c r="N95" s="246">
        <v>0</v>
      </c>
      <c r="O95" s="246">
        <v>0</v>
      </c>
      <c r="P95" s="246">
        <v>0</v>
      </c>
      <c r="Q95" s="262">
        <v>70.9</v>
      </c>
      <c r="R95" s="332">
        <v>267</v>
      </c>
      <c r="S95" s="258" t="s">
        <v>383</v>
      </c>
      <c r="T95" s="16" t="s">
        <v>212</v>
      </c>
      <c r="U95" s="275">
        <v>568</v>
      </c>
      <c r="V95" s="22">
        <v>43080</v>
      </c>
      <c r="W95" s="294" t="s">
        <v>365</v>
      </c>
      <c r="X95" s="89">
        <v>2250</v>
      </c>
      <c r="Y95" s="254"/>
    </row>
    <row r="96" spans="1:25" s="8" customFormat="1" ht="37.5" customHeight="1">
      <c r="A96" s="264">
        <v>6.6</v>
      </c>
      <c r="B96" s="258" t="s">
        <v>384</v>
      </c>
      <c r="C96" s="246">
        <v>0</v>
      </c>
      <c r="D96" s="334">
        <f>R96</f>
        <v>149</v>
      </c>
      <c r="E96" s="246">
        <v>0</v>
      </c>
      <c r="F96" s="246">
        <v>0</v>
      </c>
      <c r="G96" s="316">
        <v>0</v>
      </c>
      <c r="H96" s="246">
        <v>0</v>
      </c>
      <c r="I96" s="246">
        <v>0</v>
      </c>
      <c r="J96" s="246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  <c r="P96" s="246">
        <v>0</v>
      </c>
      <c r="Q96" s="262">
        <v>0</v>
      </c>
      <c r="R96" s="334">
        <v>149</v>
      </c>
      <c r="S96" s="258" t="s">
        <v>384</v>
      </c>
      <c r="T96" s="16" t="s">
        <v>431</v>
      </c>
      <c r="U96" s="275" t="s">
        <v>385</v>
      </c>
      <c r="V96" s="22">
        <v>43025</v>
      </c>
      <c r="W96" s="294" t="s">
        <v>365</v>
      </c>
      <c r="X96" s="89">
        <v>1163.2</v>
      </c>
      <c r="Y96" s="254"/>
    </row>
    <row r="97" spans="1:25" s="8" customFormat="1" ht="37.5" customHeight="1">
      <c r="A97" s="389" t="s">
        <v>126</v>
      </c>
      <c r="B97" s="259" t="s">
        <v>388</v>
      </c>
      <c r="C97" s="246">
        <v>0</v>
      </c>
      <c r="D97" s="334">
        <f>R97</f>
        <v>306.5</v>
      </c>
      <c r="E97" s="246">
        <v>0</v>
      </c>
      <c r="F97" s="263">
        <v>0</v>
      </c>
      <c r="G97" s="317">
        <v>0</v>
      </c>
      <c r="H97" s="246">
        <v>0</v>
      </c>
      <c r="I97" s="246">
        <v>0</v>
      </c>
      <c r="J97" s="246">
        <v>0</v>
      </c>
      <c r="K97" s="246">
        <v>0</v>
      </c>
      <c r="L97" s="246">
        <v>0</v>
      </c>
      <c r="M97" s="246">
        <v>0</v>
      </c>
      <c r="N97" s="246">
        <v>0</v>
      </c>
      <c r="O97" s="246">
        <v>0</v>
      </c>
      <c r="P97" s="246">
        <v>0</v>
      </c>
      <c r="Q97" s="262">
        <v>0</v>
      </c>
      <c r="R97" s="332">
        <v>306.5</v>
      </c>
      <c r="S97" s="259" t="s">
        <v>387</v>
      </c>
      <c r="T97" s="16" t="s">
        <v>415</v>
      </c>
      <c r="U97" s="275" t="s">
        <v>386</v>
      </c>
      <c r="V97" s="22">
        <v>42825</v>
      </c>
      <c r="W97" s="64">
        <v>43190</v>
      </c>
      <c r="X97" s="89">
        <v>318</v>
      </c>
      <c r="Y97" s="254"/>
    </row>
    <row r="98" spans="1:25" s="8" customFormat="1" ht="37.5" customHeight="1">
      <c r="A98" s="391"/>
      <c r="B98" s="259" t="s">
        <v>389</v>
      </c>
      <c r="C98" s="246">
        <v>0</v>
      </c>
      <c r="D98" s="334">
        <f>R98</f>
        <v>0</v>
      </c>
      <c r="E98" s="246">
        <v>0</v>
      </c>
      <c r="F98" s="247">
        <v>0</v>
      </c>
      <c r="G98" s="318">
        <v>0</v>
      </c>
      <c r="H98" s="246">
        <v>0</v>
      </c>
      <c r="I98" s="246">
        <v>0</v>
      </c>
      <c r="J98" s="246">
        <v>0</v>
      </c>
      <c r="K98" s="246">
        <v>0</v>
      </c>
      <c r="L98" s="246">
        <v>0</v>
      </c>
      <c r="M98" s="246">
        <v>0</v>
      </c>
      <c r="N98" s="246">
        <v>0</v>
      </c>
      <c r="O98" s="246">
        <v>0</v>
      </c>
      <c r="P98" s="246">
        <v>0</v>
      </c>
      <c r="Q98" s="262">
        <v>0</v>
      </c>
      <c r="R98" s="336">
        <v>0</v>
      </c>
      <c r="S98" s="259" t="s">
        <v>389</v>
      </c>
      <c r="T98" s="16" t="s">
        <v>432</v>
      </c>
      <c r="U98" s="275"/>
      <c r="V98" s="22"/>
      <c r="W98" s="64"/>
      <c r="X98" s="89"/>
      <c r="Y98" s="254"/>
    </row>
    <row r="99" spans="1:25" s="8" customFormat="1" ht="30" customHeight="1">
      <c r="A99" s="178" t="s">
        <v>127</v>
      </c>
      <c r="B99" s="195" t="s">
        <v>79</v>
      </c>
      <c r="C99" s="186">
        <v>0</v>
      </c>
      <c r="D99" s="332">
        <f>E99+F99+R99</f>
        <v>112.60000000000001</v>
      </c>
      <c r="E99" s="215">
        <f>L99</f>
        <v>41.6</v>
      </c>
      <c r="F99" s="212">
        <f>P99+O99+N99</f>
        <v>60.7</v>
      </c>
      <c r="G99" s="315">
        <v>0</v>
      </c>
      <c r="H99" s="186">
        <v>0</v>
      </c>
      <c r="I99" s="186">
        <v>0</v>
      </c>
      <c r="J99" s="186">
        <v>0</v>
      </c>
      <c r="K99" s="186">
        <v>0</v>
      </c>
      <c r="L99" s="205">
        <v>41.6</v>
      </c>
      <c r="M99" s="215">
        <v>0</v>
      </c>
      <c r="N99" s="224">
        <v>0</v>
      </c>
      <c r="O99" s="234">
        <v>0</v>
      </c>
      <c r="P99" s="241">
        <v>60.7</v>
      </c>
      <c r="Q99" s="263">
        <v>0</v>
      </c>
      <c r="R99" s="333">
        <v>10.3</v>
      </c>
      <c r="S99" s="195" t="s">
        <v>79</v>
      </c>
      <c r="T99" s="16" t="s">
        <v>212</v>
      </c>
      <c r="U99" s="275">
        <v>159</v>
      </c>
      <c r="V99" s="22">
        <v>42858</v>
      </c>
      <c r="W99" s="22">
        <v>43588</v>
      </c>
      <c r="X99" s="89">
        <v>1000</v>
      </c>
      <c r="Y99" s="179"/>
    </row>
    <row r="100" spans="1:25" s="8" customFormat="1" ht="15">
      <c r="A100" s="389" t="s">
        <v>129</v>
      </c>
      <c r="B100" s="411" t="s">
        <v>81</v>
      </c>
      <c r="C100" s="343">
        <v>0</v>
      </c>
      <c r="D100" s="343">
        <v>0</v>
      </c>
      <c r="E100" s="343">
        <v>0</v>
      </c>
      <c r="F100" s="343">
        <v>0</v>
      </c>
      <c r="G100" s="343">
        <v>0</v>
      </c>
      <c r="H100" s="343">
        <v>0</v>
      </c>
      <c r="I100" s="343">
        <v>0</v>
      </c>
      <c r="J100" s="343">
        <v>0</v>
      </c>
      <c r="K100" s="343">
        <v>0</v>
      </c>
      <c r="L100" s="343">
        <v>0</v>
      </c>
      <c r="M100" s="343">
        <v>0</v>
      </c>
      <c r="N100" s="343">
        <v>0</v>
      </c>
      <c r="O100" s="343">
        <v>0</v>
      </c>
      <c r="P100" s="343">
        <v>0</v>
      </c>
      <c r="Q100" s="343">
        <v>0</v>
      </c>
      <c r="R100" s="420">
        <v>0</v>
      </c>
      <c r="S100" s="411" t="s">
        <v>81</v>
      </c>
      <c r="T100" s="429" t="s">
        <v>212</v>
      </c>
      <c r="U100" s="432">
        <v>303</v>
      </c>
      <c r="V100" s="435">
        <v>42958</v>
      </c>
      <c r="W100" s="435">
        <v>43323</v>
      </c>
      <c r="X100" s="438">
        <v>290</v>
      </c>
      <c r="Y100" s="179"/>
    </row>
    <row r="101" spans="1:25" s="8" customFormat="1" ht="15">
      <c r="A101" s="390"/>
      <c r="B101" s="473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421"/>
      <c r="S101" s="473"/>
      <c r="T101" s="430"/>
      <c r="U101" s="433"/>
      <c r="V101" s="436"/>
      <c r="W101" s="436"/>
      <c r="X101" s="439"/>
      <c r="Y101" s="179"/>
    </row>
    <row r="102" spans="1:25" s="8" customFormat="1" ht="15">
      <c r="A102" s="391"/>
      <c r="B102" s="472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422"/>
      <c r="S102" s="472"/>
      <c r="T102" s="431"/>
      <c r="U102" s="434"/>
      <c r="V102" s="437"/>
      <c r="W102" s="437"/>
      <c r="X102" s="440"/>
      <c r="Y102" s="179"/>
    </row>
    <row r="103" spans="1:25" s="8" customFormat="1" ht="27" customHeight="1">
      <c r="A103" s="178" t="s">
        <v>396</v>
      </c>
      <c r="B103" s="66" t="s">
        <v>82</v>
      </c>
      <c r="C103" s="186">
        <v>0</v>
      </c>
      <c r="D103" s="332">
        <f>0.4+K103+R103</f>
        <v>64.2</v>
      </c>
      <c r="E103" s="215">
        <f>0.4+L103</f>
        <v>0.4</v>
      </c>
      <c r="F103" s="212">
        <f>M103</f>
        <v>0</v>
      </c>
      <c r="G103" s="315">
        <f>N103</f>
        <v>0</v>
      </c>
      <c r="H103" s="186">
        <v>0.4</v>
      </c>
      <c r="I103" s="186">
        <v>0</v>
      </c>
      <c r="J103" s="186">
        <v>0</v>
      </c>
      <c r="K103" s="186">
        <v>0</v>
      </c>
      <c r="L103" s="205">
        <v>0</v>
      </c>
      <c r="M103" s="215">
        <v>0</v>
      </c>
      <c r="N103" s="224">
        <v>0</v>
      </c>
      <c r="O103" s="234">
        <v>0</v>
      </c>
      <c r="P103" s="241">
        <v>0</v>
      </c>
      <c r="Q103" s="263">
        <v>0</v>
      </c>
      <c r="R103" s="333">
        <v>63.8</v>
      </c>
      <c r="S103" s="66" t="s">
        <v>82</v>
      </c>
      <c r="T103" s="37"/>
      <c r="U103" s="283" t="s">
        <v>205</v>
      </c>
      <c r="V103" s="198"/>
      <c r="W103" s="198"/>
      <c r="X103" s="86"/>
      <c r="Y103" s="179"/>
    </row>
    <row r="104" spans="1:25" s="8" customFormat="1" ht="33" customHeight="1">
      <c r="A104" s="178" t="s">
        <v>130</v>
      </c>
      <c r="B104" s="195" t="s">
        <v>83</v>
      </c>
      <c r="C104" s="186">
        <v>0</v>
      </c>
      <c r="D104" s="332">
        <f>F104+R104</f>
        <v>87.8</v>
      </c>
      <c r="E104" s="215">
        <v>0</v>
      </c>
      <c r="F104" s="212">
        <f>M104+O104+Q104</f>
        <v>36.8</v>
      </c>
      <c r="G104" s="315">
        <v>0</v>
      </c>
      <c r="H104" s="186">
        <v>0</v>
      </c>
      <c r="I104" s="186">
        <v>0</v>
      </c>
      <c r="J104" s="186">
        <v>0</v>
      </c>
      <c r="K104" s="186">
        <v>0</v>
      </c>
      <c r="L104" s="205">
        <v>0</v>
      </c>
      <c r="M104" s="215">
        <v>0</v>
      </c>
      <c r="N104" s="224">
        <v>0</v>
      </c>
      <c r="O104" s="234">
        <v>17.3</v>
      </c>
      <c r="P104" s="241">
        <v>0</v>
      </c>
      <c r="Q104" s="263">
        <v>19.5</v>
      </c>
      <c r="R104" s="333">
        <v>51</v>
      </c>
      <c r="S104" s="195" t="s">
        <v>83</v>
      </c>
      <c r="T104" s="16" t="s">
        <v>218</v>
      </c>
      <c r="U104" s="291" t="s">
        <v>217</v>
      </c>
      <c r="V104" s="22">
        <v>41327</v>
      </c>
      <c r="W104" s="198"/>
      <c r="X104" s="86"/>
      <c r="Y104" s="179"/>
    </row>
    <row r="105" spans="1:25" s="8" customFormat="1" ht="25.5">
      <c r="A105" s="178" t="s">
        <v>397</v>
      </c>
      <c r="B105" s="200" t="s">
        <v>155</v>
      </c>
      <c r="C105" s="186">
        <v>0</v>
      </c>
      <c r="D105" s="186">
        <f>K105+J105</f>
        <v>165.6</v>
      </c>
      <c r="E105" s="215">
        <f>L105+K105+J105</f>
        <v>165.6</v>
      </c>
      <c r="F105" s="212">
        <f>M105</f>
        <v>0</v>
      </c>
      <c r="G105" s="315">
        <f>N105</f>
        <v>0</v>
      </c>
      <c r="H105" s="186">
        <v>0</v>
      </c>
      <c r="I105" s="186">
        <v>0</v>
      </c>
      <c r="J105" s="186">
        <v>46.4</v>
      </c>
      <c r="K105" s="186">
        <v>119.2</v>
      </c>
      <c r="L105" s="205">
        <v>0</v>
      </c>
      <c r="M105" s="215">
        <v>0</v>
      </c>
      <c r="N105" s="224">
        <v>0</v>
      </c>
      <c r="O105" s="234">
        <v>0</v>
      </c>
      <c r="P105" s="241">
        <v>0</v>
      </c>
      <c r="Q105" s="263">
        <v>0</v>
      </c>
      <c r="R105" s="333">
        <v>0</v>
      </c>
      <c r="S105" s="200" t="s">
        <v>155</v>
      </c>
      <c r="T105" s="16" t="s">
        <v>221</v>
      </c>
      <c r="U105" s="287" t="s">
        <v>390</v>
      </c>
      <c r="V105" s="22">
        <v>42688</v>
      </c>
      <c r="W105" s="16" t="s">
        <v>219</v>
      </c>
      <c r="X105" s="91" t="s">
        <v>391</v>
      </c>
      <c r="Y105" s="179"/>
    </row>
    <row r="106" spans="1:25" s="8" customFormat="1" ht="48">
      <c r="A106" s="178" t="s">
        <v>131</v>
      </c>
      <c r="B106" s="195" t="s">
        <v>84</v>
      </c>
      <c r="C106" s="186">
        <v>0</v>
      </c>
      <c r="D106" s="332">
        <f>K106+F106+G106+R106</f>
        <v>1711.6</v>
      </c>
      <c r="E106" s="215">
        <f>L106+K106</f>
        <v>390.5</v>
      </c>
      <c r="F106" s="212">
        <f>M106</f>
        <v>0</v>
      </c>
      <c r="G106" s="315">
        <v>721.1</v>
      </c>
      <c r="H106" s="186">
        <v>0</v>
      </c>
      <c r="I106" s="186">
        <v>0</v>
      </c>
      <c r="J106" s="186">
        <v>0</v>
      </c>
      <c r="K106" s="186">
        <v>390.5</v>
      </c>
      <c r="L106" s="205">
        <v>0</v>
      </c>
      <c r="M106" s="215">
        <v>0</v>
      </c>
      <c r="N106" s="224">
        <v>0</v>
      </c>
      <c r="O106" s="234">
        <v>0</v>
      </c>
      <c r="P106" s="241">
        <v>0</v>
      </c>
      <c r="Q106" s="263">
        <v>0</v>
      </c>
      <c r="R106" s="333">
        <v>600</v>
      </c>
      <c r="S106" s="195" t="s">
        <v>84</v>
      </c>
      <c r="T106" s="21" t="s">
        <v>224</v>
      </c>
      <c r="U106" s="292" t="s">
        <v>392</v>
      </c>
      <c r="V106" s="22">
        <v>42933</v>
      </c>
      <c r="W106" s="198"/>
      <c r="X106" s="88" t="s">
        <v>223</v>
      </c>
      <c r="Y106" s="179"/>
    </row>
    <row r="107" spans="1:25" s="8" customFormat="1" ht="25.5">
      <c r="A107" s="178" t="s">
        <v>132</v>
      </c>
      <c r="B107" s="195" t="s">
        <v>85</v>
      </c>
      <c r="C107" s="186">
        <v>0</v>
      </c>
      <c r="D107" s="332">
        <f>K107+F107+G107+E107+R107</f>
        <v>107.60000000000001</v>
      </c>
      <c r="E107" s="215">
        <f>K107+J107</f>
        <v>41</v>
      </c>
      <c r="F107" s="212">
        <f>M107</f>
        <v>0</v>
      </c>
      <c r="G107" s="315">
        <v>42.9</v>
      </c>
      <c r="H107" s="186">
        <v>0</v>
      </c>
      <c r="I107" s="186">
        <v>0</v>
      </c>
      <c r="J107" s="186">
        <v>41</v>
      </c>
      <c r="K107" s="186">
        <v>0</v>
      </c>
      <c r="L107" s="205">
        <v>0</v>
      </c>
      <c r="M107" s="215">
        <v>0</v>
      </c>
      <c r="N107" s="224">
        <v>0</v>
      </c>
      <c r="O107" s="234">
        <v>0</v>
      </c>
      <c r="P107" s="241">
        <v>0</v>
      </c>
      <c r="Q107" s="263">
        <v>0</v>
      </c>
      <c r="R107" s="333">
        <v>23.7</v>
      </c>
      <c r="S107" s="195" t="s">
        <v>85</v>
      </c>
      <c r="T107" s="16" t="s">
        <v>226</v>
      </c>
      <c r="U107" s="275" t="s">
        <v>225</v>
      </c>
      <c r="V107" s="22">
        <v>42282</v>
      </c>
      <c r="W107" s="16"/>
      <c r="X107" s="86"/>
      <c r="Y107" s="179"/>
    </row>
    <row r="108" spans="1:25" s="8" customFormat="1" ht="36">
      <c r="A108" s="178" t="s">
        <v>133</v>
      </c>
      <c r="B108" s="195" t="s">
        <v>86</v>
      </c>
      <c r="C108" s="186">
        <v>0</v>
      </c>
      <c r="D108" s="332">
        <f>E108+F108+G108+R108</f>
        <v>360.6</v>
      </c>
      <c r="E108" s="215">
        <f>H108+I108+J108+K108+K108+L108</f>
        <v>90.7</v>
      </c>
      <c r="F108" s="212">
        <f>M108+N108+O108+Q108</f>
        <v>98.4</v>
      </c>
      <c r="G108" s="315">
        <v>88</v>
      </c>
      <c r="H108" s="186">
        <v>0</v>
      </c>
      <c r="I108" s="186">
        <v>0</v>
      </c>
      <c r="J108" s="186">
        <v>0</v>
      </c>
      <c r="K108" s="186">
        <v>0</v>
      </c>
      <c r="L108" s="205">
        <v>90.7</v>
      </c>
      <c r="M108" s="215">
        <v>0</v>
      </c>
      <c r="N108" s="224">
        <v>8.8</v>
      </c>
      <c r="O108" s="234">
        <v>9.1</v>
      </c>
      <c r="P108" s="241">
        <v>0</v>
      </c>
      <c r="Q108" s="263">
        <v>80.5</v>
      </c>
      <c r="R108" s="333">
        <v>83.5</v>
      </c>
      <c r="S108" s="195" t="s">
        <v>86</v>
      </c>
      <c r="T108" s="16" t="s">
        <v>227</v>
      </c>
      <c r="U108" s="292" t="s">
        <v>228</v>
      </c>
      <c r="V108" s="22">
        <v>41285</v>
      </c>
      <c r="W108" s="198"/>
      <c r="X108" s="86"/>
      <c r="Y108" s="179"/>
    </row>
    <row r="109" spans="1:25" s="8" customFormat="1" ht="26.25" customHeight="1">
      <c r="A109" s="178" t="s">
        <v>134</v>
      </c>
      <c r="B109" s="195" t="s">
        <v>87</v>
      </c>
      <c r="C109" s="186">
        <v>0</v>
      </c>
      <c r="D109" s="317">
        <f>F109+G109+100</f>
        <v>250</v>
      </c>
      <c r="E109" s="215">
        <f>H109+I109+J109+K109+K109+L109</f>
        <v>100</v>
      </c>
      <c r="F109" s="232">
        <f>M109+N109+O109</f>
        <v>50</v>
      </c>
      <c r="G109" s="315">
        <v>100</v>
      </c>
      <c r="H109" s="186">
        <v>0</v>
      </c>
      <c r="I109" s="186">
        <v>0</v>
      </c>
      <c r="J109" s="186">
        <v>0</v>
      </c>
      <c r="K109" s="186">
        <v>0</v>
      </c>
      <c r="L109" s="205">
        <v>100</v>
      </c>
      <c r="M109" s="215">
        <v>0</v>
      </c>
      <c r="N109" s="224">
        <v>0</v>
      </c>
      <c r="O109" s="234">
        <v>50</v>
      </c>
      <c r="P109" s="241">
        <v>0</v>
      </c>
      <c r="Q109" s="263">
        <v>0</v>
      </c>
      <c r="R109" s="333">
        <v>0</v>
      </c>
      <c r="S109" s="195" t="s">
        <v>87</v>
      </c>
      <c r="T109" s="21" t="s">
        <v>229</v>
      </c>
      <c r="U109" s="283" t="s">
        <v>205</v>
      </c>
      <c r="V109" s="198"/>
      <c r="W109" s="198"/>
      <c r="X109" s="86"/>
      <c r="Y109" s="179"/>
    </row>
    <row r="110" spans="1:25" s="8" customFormat="1" ht="33.75" customHeight="1">
      <c r="A110" s="178" t="s">
        <v>135</v>
      </c>
      <c r="B110" s="195" t="s">
        <v>88</v>
      </c>
      <c r="C110" s="186">
        <v>0</v>
      </c>
      <c r="D110" s="186">
        <v>0</v>
      </c>
      <c r="E110" s="215">
        <f>H110+I110+J110+K110+K110+L110</f>
        <v>0</v>
      </c>
      <c r="F110" s="232">
        <f>M110+N110+O110</f>
        <v>0</v>
      </c>
      <c r="G110" s="315">
        <f>N110+O110+P110</f>
        <v>0</v>
      </c>
      <c r="H110" s="186">
        <v>0</v>
      </c>
      <c r="I110" s="186">
        <v>0</v>
      </c>
      <c r="J110" s="186">
        <v>0</v>
      </c>
      <c r="K110" s="186">
        <v>0</v>
      </c>
      <c r="L110" s="205">
        <v>0</v>
      </c>
      <c r="M110" s="215">
        <v>0</v>
      </c>
      <c r="N110" s="224">
        <v>0</v>
      </c>
      <c r="O110" s="234">
        <v>0</v>
      </c>
      <c r="P110" s="241">
        <v>0</v>
      </c>
      <c r="Q110" s="263">
        <v>0</v>
      </c>
      <c r="R110" s="333">
        <v>0</v>
      </c>
      <c r="S110" s="195" t="s">
        <v>88</v>
      </c>
      <c r="T110" s="16" t="s">
        <v>206</v>
      </c>
      <c r="U110" s="275">
        <v>12</v>
      </c>
      <c r="V110" s="22">
        <v>42390</v>
      </c>
      <c r="W110" s="22">
        <v>43120</v>
      </c>
      <c r="X110" s="86"/>
      <c r="Y110" s="179"/>
    </row>
    <row r="111" spans="1:25" s="8" customFormat="1" ht="38.25">
      <c r="A111" s="389" t="s">
        <v>136</v>
      </c>
      <c r="B111" s="355" t="s">
        <v>89</v>
      </c>
      <c r="C111" s="343">
        <v>0</v>
      </c>
      <c r="D111" s="343">
        <f>H111+I111</f>
        <v>27.9</v>
      </c>
      <c r="E111" s="343">
        <f>I111+J111</f>
        <v>27.9</v>
      </c>
      <c r="F111" s="343">
        <f>M111</f>
        <v>0</v>
      </c>
      <c r="G111" s="343">
        <f>N111</f>
        <v>0</v>
      </c>
      <c r="H111" s="343">
        <v>0</v>
      </c>
      <c r="I111" s="343">
        <v>27.9</v>
      </c>
      <c r="J111" s="343">
        <v>0</v>
      </c>
      <c r="K111" s="343">
        <v>0</v>
      </c>
      <c r="L111" s="343">
        <v>0</v>
      </c>
      <c r="M111" s="343">
        <v>0</v>
      </c>
      <c r="N111" s="343">
        <v>0</v>
      </c>
      <c r="O111" s="343">
        <v>0</v>
      </c>
      <c r="P111" s="343">
        <v>0</v>
      </c>
      <c r="Q111" s="343">
        <v>0</v>
      </c>
      <c r="R111" s="420">
        <v>0</v>
      </c>
      <c r="S111" s="355" t="s">
        <v>89</v>
      </c>
      <c r="T111" s="16" t="s">
        <v>231</v>
      </c>
      <c r="U111" s="275" t="s">
        <v>230</v>
      </c>
      <c r="V111" s="22">
        <v>43007</v>
      </c>
      <c r="W111" s="294" t="s">
        <v>365</v>
      </c>
      <c r="X111" s="88">
        <v>120</v>
      </c>
      <c r="Y111" s="179"/>
    </row>
    <row r="112" spans="1:25" s="8" customFormat="1" ht="76.5" customHeight="1">
      <c r="A112" s="391"/>
      <c r="B112" s="46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422"/>
      <c r="S112" s="464"/>
      <c r="T112" s="16" t="s">
        <v>233</v>
      </c>
      <c r="U112" s="275" t="s">
        <v>232</v>
      </c>
      <c r="V112" s="33">
        <v>42538</v>
      </c>
      <c r="W112" s="294" t="s">
        <v>365</v>
      </c>
      <c r="X112" s="88">
        <v>361.8</v>
      </c>
      <c r="Y112" s="179"/>
    </row>
    <row r="113" spans="1:25" s="12" customFormat="1" ht="25.5" customHeight="1">
      <c r="A113" s="415" t="s">
        <v>137</v>
      </c>
      <c r="B113" s="416" t="s">
        <v>90</v>
      </c>
      <c r="C113" s="341">
        <v>0</v>
      </c>
      <c r="D113" s="471">
        <f>F113+R113</f>
        <v>47.300000000000004</v>
      </c>
      <c r="E113" s="341">
        <v>0</v>
      </c>
      <c r="F113" s="343">
        <f>Q113</f>
        <v>45.6</v>
      </c>
      <c r="G113" s="343">
        <v>0</v>
      </c>
      <c r="H113" s="341">
        <v>0</v>
      </c>
      <c r="I113" s="341">
        <v>0</v>
      </c>
      <c r="J113" s="341">
        <v>0</v>
      </c>
      <c r="K113" s="341">
        <v>0</v>
      </c>
      <c r="L113" s="341">
        <v>0</v>
      </c>
      <c r="M113" s="210">
        <v>0</v>
      </c>
      <c r="N113" s="225">
        <v>0</v>
      </c>
      <c r="O113" s="341">
        <v>0</v>
      </c>
      <c r="P113" s="341">
        <v>0</v>
      </c>
      <c r="Q113" s="341">
        <v>45.6</v>
      </c>
      <c r="R113" s="420">
        <v>1.7</v>
      </c>
      <c r="S113" s="416" t="s">
        <v>90</v>
      </c>
      <c r="T113" s="441" t="s">
        <v>234</v>
      </c>
      <c r="U113" s="443">
        <v>404</v>
      </c>
      <c r="V113" s="445">
        <v>43010</v>
      </c>
      <c r="W113" s="445">
        <v>43375</v>
      </c>
      <c r="X113" s="447">
        <v>93.3</v>
      </c>
      <c r="Y113" s="35"/>
    </row>
    <row r="114" spans="1:25" s="12" customFormat="1" ht="15">
      <c r="A114" s="391"/>
      <c r="B114" s="465"/>
      <c r="C114" s="342"/>
      <c r="D114" s="342"/>
      <c r="E114" s="342"/>
      <c r="F114" s="344"/>
      <c r="G114" s="344"/>
      <c r="H114" s="342"/>
      <c r="I114" s="342"/>
      <c r="J114" s="342"/>
      <c r="K114" s="342"/>
      <c r="L114" s="342"/>
      <c r="M114" s="211"/>
      <c r="N114" s="229"/>
      <c r="O114" s="342"/>
      <c r="P114" s="342"/>
      <c r="Q114" s="342"/>
      <c r="R114" s="422"/>
      <c r="S114" s="465"/>
      <c r="T114" s="442"/>
      <c r="U114" s="444"/>
      <c r="V114" s="446"/>
      <c r="W114" s="446"/>
      <c r="X114" s="448"/>
      <c r="Y114" s="35"/>
    </row>
    <row r="115" spans="1:25" s="8" customFormat="1" ht="25.5">
      <c r="A115" s="178" t="s">
        <v>138</v>
      </c>
      <c r="B115" s="199" t="s">
        <v>91</v>
      </c>
      <c r="C115" s="186">
        <v>0</v>
      </c>
      <c r="D115" s="332">
        <f>F115+E115+G115+R115</f>
        <v>74</v>
      </c>
      <c r="E115" s="215">
        <v>0</v>
      </c>
      <c r="F115" s="212">
        <f>Q115</f>
        <v>54.9</v>
      </c>
      <c r="G115" s="315">
        <v>0.4</v>
      </c>
      <c r="H115" s="186">
        <v>0</v>
      </c>
      <c r="I115" s="186">
        <v>0</v>
      </c>
      <c r="J115" s="186">
        <v>0</v>
      </c>
      <c r="K115" s="186">
        <v>0</v>
      </c>
      <c r="L115" s="205">
        <v>0</v>
      </c>
      <c r="M115" s="215">
        <v>0</v>
      </c>
      <c r="N115" s="224">
        <v>0</v>
      </c>
      <c r="O115" s="234">
        <v>0</v>
      </c>
      <c r="P115" s="241">
        <v>0</v>
      </c>
      <c r="Q115" s="263">
        <v>54.9</v>
      </c>
      <c r="R115" s="333">
        <v>18.7</v>
      </c>
      <c r="S115" s="199" t="s">
        <v>91</v>
      </c>
      <c r="T115" s="16" t="s">
        <v>237</v>
      </c>
      <c r="U115" s="275" t="s">
        <v>236</v>
      </c>
      <c r="V115" s="22">
        <v>42794</v>
      </c>
      <c r="W115" s="22">
        <v>43100</v>
      </c>
      <c r="X115" s="86"/>
      <c r="Y115" s="179"/>
    </row>
    <row r="116" spans="1:25" s="8" customFormat="1" ht="23.25" customHeight="1">
      <c r="A116" s="389" t="s">
        <v>139</v>
      </c>
      <c r="B116" s="355" t="s">
        <v>92</v>
      </c>
      <c r="C116" s="343">
        <v>0</v>
      </c>
      <c r="D116" s="420">
        <f>L116+G116+R116</f>
        <v>247.7</v>
      </c>
      <c r="E116" s="343">
        <f>L116</f>
        <v>17.1</v>
      </c>
      <c r="F116" s="343">
        <f>M116</f>
        <v>0</v>
      </c>
      <c r="G116" s="343">
        <v>125.6</v>
      </c>
      <c r="H116" s="343">
        <v>0</v>
      </c>
      <c r="I116" s="343">
        <v>0</v>
      </c>
      <c r="J116" s="343">
        <v>0</v>
      </c>
      <c r="K116" s="343">
        <v>0</v>
      </c>
      <c r="L116" s="343">
        <v>17.1</v>
      </c>
      <c r="M116" s="343">
        <v>0</v>
      </c>
      <c r="N116" s="343">
        <v>0</v>
      </c>
      <c r="O116" s="343">
        <v>0</v>
      </c>
      <c r="P116" s="343">
        <v>0</v>
      </c>
      <c r="Q116" s="343">
        <v>0</v>
      </c>
      <c r="R116" s="420">
        <v>105</v>
      </c>
      <c r="S116" s="355" t="s">
        <v>92</v>
      </c>
      <c r="T116" s="16" t="s">
        <v>238</v>
      </c>
      <c r="U116" s="287" t="s">
        <v>394</v>
      </c>
      <c r="V116" s="22">
        <v>43033</v>
      </c>
      <c r="W116" s="298">
        <v>43465</v>
      </c>
      <c r="X116" s="86"/>
      <c r="Y116" s="179"/>
    </row>
    <row r="117" spans="1:25" s="8" customFormat="1" ht="38.25">
      <c r="A117" s="391"/>
      <c r="B117" s="46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422"/>
      <c r="S117" s="464"/>
      <c r="T117" s="16" t="s">
        <v>241</v>
      </c>
      <c r="U117" s="275" t="s">
        <v>239</v>
      </c>
      <c r="V117" s="22">
        <v>43006</v>
      </c>
      <c r="W117" s="16" t="s">
        <v>240</v>
      </c>
      <c r="X117" s="86"/>
      <c r="Y117" s="179"/>
    </row>
    <row r="118" spans="1:25" s="8" customFormat="1" ht="24" customHeight="1">
      <c r="A118" s="253">
        <v>6.22</v>
      </c>
      <c r="B118" s="257" t="s">
        <v>393</v>
      </c>
      <c r="C118" s="246">
        <v>0</v>
      </c>
      <c r="D118" s="246">
        <v>0</v>
      </c>
      <c r="E118" s="246">
        <v>0</v>
      </c>
      <c r="F118" s="263">
        <v>0</v>
      </c>
      <c r="G118" s="317">
        <v>0</v>
      </c>
      <c r="H118" s="246">
        <v>0</v>
      </c>
      <c r="I118" s="246">
        <v>0</v>
      </c>
      <c r="J118" s="246">
        <v>0</v>
      </c>
      <c r="K118" s="246">
        <v>0</v>
      </c>
      <c r="L118" s="246">
        <v>0</v>
      </c>
      <c r="M118" s="246">
        <v>0</v>
      </c>
      <c r="N118" s="246">
        <v>0</v>
      </c>
      <c r="O118" s="246">
        <v>0</v>
      </c>
      <c r="P118" s="246">
        <v>0</v>
      </c>
      <c r="Q118" s="262">
        <v>0</v>
      </c>
      <c r="R118" s="332">
        <v>0</v>
      </c>
      <c r="S118" s="257" t="s">
        <v>393</v>
      </c>
      <c r="T118" s="16" t="s">
        <v>433</v>
      </c>
      <c r="U118" s="303">
        <v>390</v>
      </c>
      <c r="V118" s="22">
        <v>43003</v>
      </c>
      <c r="W118" s="22">
        <v>43368</v>
      </c>
      <c r="X118" s="86">
        <v>78.4</v>
      </c>
      <c r="Y118" s="254"/>
    </row>
    <row r="119" spans="1:25" s="8" customFormat="1" ht="38.25">
      <c r="A119" s="264">
        <v>6.23</v>
      </c>
      <c r="B119" s="13" t="s">
        <v>93</v>
      </c>
      <c r="C119" s="186">
        <v>0</v>
      </c>
      <c r="D119" s="332">
        <f>E119+F119+G119+R119</f>
        <v>644.2</v>
      </c>
      <c r="E119" s="215">
        <f>K119+J119</f>
        <v>106.3</v>
      </c>
      <c r="F119" s="212">
        <f>M119+N119+P119</f>
        <v>203.89999999999998</v>
      </c>
      <c r="G119" s="315">
        <v>234</v>
      </c>
      <c r="H119" s="186">
        <v>0</v>
      </c>
      <c r="I119" s="186">
        <v>0</v>
      </c>
      <c r="J119" s="186">
        <v>106.3</v>
      </c>
      <c r="K119" s="186">
        <v>0</v>
      </c>
      <c r="L119" s="205">
        <v>0</v>
      </c>
      <c r="M119" s="215">
        <v>0</v>
      </c>
      <c r="N119" s="224">
        <v>113.3</v>
      </c>
      <c r="O119" s="234">
        <v>0</v>
      </c>
      <c r="P119" s="241">
        <v>90.6</v>
      </c>
      <c r="Q119" s="263">
        <v>0</v>
      </c>
      <c r="R119" s="333">
        <v>100</v>
      </c>
      <c r="S119" s="13" t="s">
        <v>93</v>
      </c>
      <c r="T119" s="37" t="s">
        <v>243</v>
      </c>
      <c r="U119" s="275" t="s">
        <v>242</v>
      </c>
      <c r="V119" s="22"/>
      <c r="W119" s="22"/>
      <c r="X119" s="86"/>
      <c r="Y119" s="179"/>
    </row>
    <row r="120" spans="1:25" s="8" customFormat="1" ht="30">
      <c r="A120" s="269" t="s">
        <v>141</v>
      </c>
      <c r="B120" s="13" t="s">
        <v>156</v>
      </c>
      <c r="C120" s="186">
        <v>0</v>
      </c>
      <c r="D120" s="317">
        <f>E120+F120+G120</f>
        <v>0</v>
      </c>
      <c r="E120" s="215">
        <v>0</v>
      </c>
      <c r="F120" s="212">
        <f>M120</f>
        <v>0</v>
      </c>
      <c r="G120" s="315">
        <f>N120</f>
        <v>0</v>
      </c>
      <c r="H120" s="186">
        <v>0</v>
      </c>
      <c r="I120" s="186">
        <v>0</v>
      </c>
      <c r="J120" s="186">
        <v>0</v>
      </c>
      <c r="K120" s="186">
        <v>0</v>
      </c>
      <c r="L120" s="205">
        <v>0</v>
      </c>
      <c r="M120" s="215">
        <v>0</v>
      </c>
      <c r="N120" s="224">
        <v>0</v>
      </c>
      <c r="O120" s="234">
        <v>0</v>
      </c>
      <c r="P120" s="241">
        <v>0</v>
      </c>
      <c r="Q120" s="263">
        <v>0</v>
      </c>
      <c r="R120" s="333">
        <v>0</v>
      </c>
      <c r="S120" s="13" t="s">
        <v>156</v>
      </c>
      <c r="T120" s="16" t="s">
        <v>212</v>
      </c>
      <c r="U120" s="275">
        <v>657</v>
      </c>
      <c r="V120" s="22">
        <v>42004</v>
      </c>
      <c r="W120" s="198" t="s">
        <v>244</v>
      </c>
      <c r="X120" s="86"/>
      <c r="Y120" s="179"/>
    </row>
    <row r="121" spans="1:25" s="8" customFormat="1" ht="21.75" customHeight="1">
      <c r="A121" s="269" t="s">
        <v>398</v>
      </c>
      <c r="B121" s="197" t="s">
        <v>94</v>
      </c>
      <c r="C121" s="186">
        <v>0</v>
      </c>
      <c r="D121" s="332">
        <f>E121+F121+G121+R121</f>
        <v>430.8</v>
      </c>
      <c r="E121" s="215">
        <v>0</v>
      </c>
      <c r="F121" s="212">
        <f>P121</f>
        <v>106.2</v>
      </c>
      <c r="G121" s="315">
        <v>224.6</v>
      </c>
      <c r="H121" s="186">
        <v>0</v>
      </c>
      <c r="I121" s="186">
        <v>0</v>
      </c>
      <c r="J121" s="186">
        <v>0</v>
      </c>
      <c r="K121" s="186">
        <v>0</v>
      </c>
      <c r="L121" s="205">
        <v>0</v>
      </c>
      <c r="M121" s="215">
        <v>0</v>
      </c>
      <c r="N121" s="224">
        <v>0</v>
      </c>
      <c r="O121" s="234">
        <v>0</v>
      </c>
      <c r="P121" s="241">
        <v>106.2</v>
      </c>
      <c r="Q121" s="263">
        <v>0</v>
      </c>
      <c r="R121" s="333">
        <v>100</v>
      </c>
      <c r="S121" s="197" t="s">
        <v>94</v>
      </c>
      <c r="T121" s="16" t="s">
        <v>246</v>
      </c>
      <c r="U121" s="275">
        <v>185</v>
      </c>
      <c r="V121" s="22">
        <v>42507</v>
      </c>
      <c r="W121" s="22" t="s">
        <v>245</v>
      </c>
      <c r="X121" s="86"/>
      <c r="Y121" s="179"/>
    </row>
    <row r="122" spans="1:25" s="8" customFormat="1" ht="21" customHeight="1">
      <c r="A122" s="269" t="s">
        <v>142</v>
      </c>
      <c r="B122" s="252" t="s">
        <v>395</v>
      </c>
      <c r="C122" s="251">
        <v>0</v>
      </c>
      <c r="D122" s="317">
        <f>E122+F122+G122</f>
        <v>75.6</v>
      </c>
      <c r="E122" s="251">
        <v>0</v>
      </c>
      <c r="F122" s="245">
        <v>0</v>
      </c>
      <c r="G122" s="315">
        <v>75.6</v>
      </c>
      <c r="H122" s="251"/>
      <c r="I122" s="251"/>
      <c r="J122" s="251"/>
      <c r="K122" s="251"/>
      <c r="L122" s="251"/>
      <c r="M122" s="251"/>
      <c r="N122" s="251"/>
      <c r="O122" s="251"/>
      <c r="P122" s="251">
        <v>0</v>
      </c>
      <c r="Q122" s="263">
        <v>0</v>
      </c>
      <c r="R122" s="333">
        <v>0</v>
      </c>
      <c r="S122" s="252" t="s">
        <v>395</v>
      </c>
      <c r="T122" s="16" t="s">
        <v>434</v>
      </c>
      <c r="U122" s="303">
        <v>417</v>
      </c>
      <c r="V122" s="22">
        <v>43014</v>
      </c>
      <c r="W122" s="22">
        <v>43379</v>
      </c>
      <c r="X122" s="86">
        <v>185.1</v>
      </c>
      <c r="Y122" s="254"/>
    </row>
    <row r="123" spans="1:25" s="8" customFormat="1" ht="21.75" customHeight="1">
      <c r="A123" s="269" t="s">
        <v>143</v>
      </c>
      <c r="B123" s="197" t="s">
        <v>95</v>
      </c>
      <c r="C123" s="186">
        <v>0</v>
      </c>
      <c r="D123" s="317">
        <f>E123+F123+G123</f>
        <v>17.3</v>
      </c>
      <c r="E123" s="215">
        <v>0</v>
      </c>
      <c r="F123" s="212">
        <f>O123</f>
        <v>17.3</v>
      </c>
      <c r="G123" s="315">
        <f>P123</f>
        <v>0</v>
      </c>
      <c r="H123" s="186">
        <v>0</v>
      </c>
      <c r="I123" s="186">
        <v>0</v>
      </c>
      <c r="J123" s="186">
        <v>0</v>
      </c>
      <c r="K123" s="186">
        <v>0</v>
      </c>
      <c r="L123" s="205">
        <v>0</v>
      </c>
      <c r="M123" s="215">
        <v>0</v>
      </c>
      <c r="N123" s="224">
        <v>0</v>
      </c>
      <c r="O123" s="234">
        <v>17.3</v>
      </c>
      <c r="P123" s="241">
        <v>0</v>
      </c>
      <c r="Q123" s="263">
        <v>0</v>
      </c>
      <c r="R123" s="333">
        <v>0</v>
      </c>
      <c r="S123" s="197" t="s">
        <v>95</v>
      </c>
      <c r="T123" s="37"/>
      <c r="U123" s="283" t="s">
        <v>205</v>
      </c>
      <c r="V123" s="198"/>
      <c r="W123" s="198"/>
      <c r="X123" s="86"/>
      <c r="Y123" s="179"/>
    </row>
    <row r="124" spans="1:25" s="8" customFormat="1" ht="21.75" customHeight="1">
      <c r="A124" s="269" t="s">
        <v>283</v>
      </c>
      <c r="B124" s="270" t="s">
        <v>416</v>
      </c>
      <c r="C124" s="263">
        <v>0</v>
      </c>
      <c r="D124" s="317">
        <f>E124+F124+G124</f>
        <v>58.4</v>
      </c>
      <c r="E124" s="263">
        <v>0</v>
      </c>
      <c r="F124" s="261">
        <f>Q124</f>
        <v>58.4</v>
      </c>
      <c r="G124" s="315">
        <v>0</v>
      </c>
      <c r="H124" s="263"/>
      <c r="I124" s="263"/>
      <c r="J124" s="263"/>
      <c r="K124" s="263"/>
      <c r="L124" s="263"/>
      <c r="M124" s="263"/>
      <c r="N124" s="263"/>
      <c r="O124" s="263"/>
      <c r="P124" s="263"/>
      <c r="Q124" s="263">
        <v>58.4</v>
      </c>
      <c r="R124" s="333">
        <v>0</v>
      </c>
      <c r="S124" s="270" t="s">
        <v>416</v>
      </c>
      <c r="T124" s="37" t="s">
        <v>418</v>
      </c>
      <c r="U124" s="283">
        <v>71</v>
      </c>
      <c r="V124" s="42">
        <v>43145</v>
      </c>
      <c r="W124" s="271" t="s">
        <v>417</v>
      </c>
      <c r="X124" s="86">
        <v>2.8</v>
      </c>
      <c r="Y124" s="266"/>
    </row>
    <row r="125" spans="1:25" s="8" customFormat="1" ht="28.5" customHeight="1">
      <c r="A125" s="269" t="s">
        <v>399</v>
      </c>
      <c r="B125" s="13" t="s">
        <v>96</v>
      </c>
      <c r="C125" s="186">
        <v>0</v>
      </c>
      <c r="D125" s="332">
        <f>E125+F125+G125+R125</f>
        <v>4624.5</v>
      </c>
      <c r="E125" s="215">
        <f>I125+J125+L125+K125+H125</f>
        <v>884.9000000000001</v>
      </c>
      <c r="F125" s="212">
        <f>M125+N125+O125+P125+Q125</f>
        <v>2303.4</v>
      </c>
      <c r="G125" s="315">
        <f>375.8+75.6</f>
        <v>451.4</v>
      </c>
      <c r="H125" s="186">
        <v>2.8</v>
      </c>
      <c r="I125" s="186">
        <v>301.2</v>
      </c>
      <c r="J125" s="186">
        <v>75.4</v>
      </c>
      <c r="K125" s="186">
        <v>278.2</v>
      </c>
      <c r="L125" s="205">
        <v>227.3</v>
      </c>
      <c r="M125" s="215">
        <v>269.2</v>
      </c>
      <c r="N125" s="224">
        <f>108.2+5.6</f>
        <v>113.8</v>
      </c>
      <c r="O125" s="234">
        <v>1164.9</v>
      </c>
      <c r="P125" s="241">
        <v>580.4</v>
      </c>
      <c r="Q125" s="263">
        <v>175.1</v>
      </c>
      <c r="R125" s="333">
        <v>984.8</v>
      </c>
      <c r="S125" s="13" t="s">
        <v>96</v>
      </c>
      <c r="T125" s="37"/>
      <c r="U125" s="283"/>
      <c r="V125" s="198"/>
      <c r="W125" s="198"/>
      <c r="X125" s="86"/>
      <c r="Y125" s="179"/>
    </row>
    <row r="126" spans="1:25" s="8" customFormat="1" ht="15">
      <c r="A126" s="97" t="s">
        <v>144</v>
      </c>
      <c r="B126" s="98" t="s">
        <v>97</v>
      </c>
      <c r="C126" s="99">
        <v>0</v>
      </c>
      <c r="D126" s="337">
        <f>SUM(D127:D138)</f>
        <v>47283.3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f>SUM(N127:N135)</f>
        <v>0</v>
      </c>
      <c r="O126" s="99"/>
      <c r="P126" s="99"/>
      <c r="Q126" s="99"/>
      <c r="R126" s="337">
        <f>R127+R130+R133+R135+R137+R138</f>
        <v>47283.3</v>
      </c>
      <c r="S126" s="98" t="s">
        <v>97</v>
      </c>
      <c r="T126" s="308"/>
      <c r="U126" s="309"/>
      <c r="V126" s="310"/>
      <c r="W126" s="310"/>
      <c r="X126" s="311"/>
      <c r="Y126" s="179"/>
    </row>
    <row r="127" spans="1:25" s="8" customFormat="1" ht="15">
      <c r="A127" s="369" t="s">
        <v>145</v>
      </c>
      <c r="B127" s="423" t="s">
        <v>99</v>
      </c>
      <c r="C127" s="343">
        <v>0</v>
      </c>
      <c r="D127" s="420">
        <f>R127+R130</f>
        <v>1341.6000000000001</v>
      </c>
      <c r="E127" s="343">
        <v>0</v>
      </c>
      <c r="F127" s="343">
        <v>0</v>
      </c>
      <c r="G127" s="343">
        <v>0</v>
      </c>
      <c r="H127" s="343">
        <v>0</v>
      </c>
      <c r="I127" s="343">
        <v>0</v>
      </c>
      <c r="J127" s="343">
        <v>0</v>
      </c>
      <c r="K127" s="343">
        <v>0</v>
      </c>
      <c r="L127" s="343">
        <v>0</v>
      </c>
      <c r="M127" s="343">
        <v>0</v>
      </c>
      <c r="N127" s="343">
        <v>0</v>
      </c>
      <c r="O127" s="343">
        <v>0</v>
      </c>
      <c r="P127" s="343">
        <v>0</v>
      </c>
      <c r="Q127" s="343">
        <v>0</v>
      </c>
      <c r="R127" s="420">
        <v>1337.9</v>
      </c>
      <c r="S127" s="423" t="s">
        <v>99</v>
      </c>
      <c r="T127" s="426" t="s">
        <v>159</v>
      </c>
      <c r="U127" s="459">
        <v>44027</v>
      </c>
      <c r="V127" s="366">
        <v>41627</v>
      </c>
      <c r="W127" s="368"/>
      <c r="X127" s="404"/>
      <c r="Y127" s="179"/>
    </row>
    <row r="128" spans="1:25" s="8" customFormat="1" ht="6" customHeight="1">
      <c r="A128" s="370"/>
      <c r="B128" s="424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421"/>
      <c r="S128" s="424"/>
      <c r="T128" s="427"/>
      <c r="U128" s="467"/>
      <c r="V128" s="469"/>
      <c r="W128" s="408"/>
      <c r="X128" s="413"/>
      <c r="Y128" s="179"/>
    </row>
    <row r="129" spans="1:25" s="8" customFormat="1" ht="4.5" customHeight="1">
      <c r="A129" s="370"/>
      <c r="B129" s="424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421"/>
      <c r="S129" s="424"/>
      <c r="T129" s="428"/>
      <c r="U129" s="467"/>
      <c r="V129" s="469"/>
      <c r="W129" s="408"/>
      <c r="X129" s="413"/>
      <c r="Y129" s="179"/>
    </row>
    <row r="130" spans="1:25" s="8" customFormat="1" ht="15">
      <c r="A130" s="370"/>
      <c r="B130" s="424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36">
        <v>3.7</v>
      </c>
      <c r="S130" s="424"/>
      <c r="T130" s="37" t="s">
        <v>160</v>
      </c>
      <c r="U130" s="467"/>
      <c r="V130" s="469"/>
      <c r="W130" s="408"/>
      <c r="X130" s="413"/>
      <c r="Y130" s="179"/>
    </row>
    <row r="131" spans="1:25" s="8" customFormat="1" ht="15.75" thickBot="1">
      <c r="A131" s="370"/>
      <c r="B131" s="425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338"/>
      <c r="S131" s="425"/>
      <c r="T131" s="152" t="s">
        <v>161</v>
      </c>
      <c r="U131" s="468"/>
      <c r="V131" s="470"/>
      <c r="W131" s="412"/>
      <c r="X131" s="414"/>
      <c r="Y131" s="179"/>
    </row>
    <row r="132" spans="1:25" s="8" customFormat="1" ht="45" customHeight="1">
      <c r="A132" s="178" t="s">
        <v>146</v>
      </c>
      <c r="B132" s="346" t="s">
        <v>100</v>
      </c>
      <c r="C132" s="183">
        <v>0</v>
      </c>
      <c r="D132" s="183">
        <v>0</v>
      </c>
      <c r="E132" s="213">
        <v>0</v>
      </c>
      <c r="F132" s="213">
        <v>0</v>
      </c>
      <c r="G132" s="316">
        <v>0</v>
      </c>
      <c r="H132" s="183">
        <v>0</v>
      </c>
      <c r="I132" s="463">
        <v>0</v>
      </c>
      <c r="J132" s="463">
        <v>0</v>
      </c>
      <c r="K132" s="463">
        <v>0</v>
      </c>
      <c r="L132" s="463">
        <v>0</v>
      </c>
      <c r="M132" s="463">
        <v>0</v>
      </c>
      <c r="N132" s="463">
        <v>0</v>
      </c>
      <c r="O132" s="463">
        <v>0</v>
      </c>
      <c r="P132" s="463">
        <v>0</v>
      </c>
      <c r="Q132" s="463">
        <v>0</v>
      </c>
      <c r="R132" s="334">
        <v>0</v>
      </c>
      <c r="S132" s="346" t="s">
        <v>100</v>
      </c>
      <c r="T132" s="150" t="s">
        <v>161</v>
      </c>
      <c r="U132" s="348" t="s">
        <v>265</v>
      </c>
      <c r="V132" s="350">
        <v>41627</v>
      </c>
      <c r="W132" s="188"/>
      <c r="X132" s="190"/>
      <c r="Y132" s="179"/>
    </row>
    <row r="133" spans="1:25" s="8" customFormat="1" ht="27" customHeight="1">
      <c r="A133" s="73" t="s">
        <v>147</v>
      </c>
      <c r="B133" s="347"/>
      <c r="C133" s="183">
        <v>0</v>
      </c>
      <c r="D133" s="334">
        <f>R133</f>
        <v>339.7</v>
      </c>
      <c r="E133" s="213">
        <v>0</v>
      </c>
      <c r="F133" s="213">
        <v>0</v>
      </c>
      <c r="G133" s="316">
        <v>0</v>
      </c>
      <c r="H133" s="183">
        <v>0</v>
      </c>
      <c r="I133" s="344"/>
      <c r="J133" s="344"/>
      <c r="K133" s="344"/>
      <c r="L133" s="344"/>
      <c r="M133" s="344"/>
      <c r="N133" s="344"/>
      <c r="O133" s="344"/>
      <c r="P133" s="344"/>
      <c r="Q133" s="344"/>
      <c r="R133" s="334">
        <v>339.7</v>
      </c>
      <c r="S133" s="347"/>
      <c r="T133" s="150" t="s">
        <v>159</v>
      </c>
      <c r="U133" s="349"/>
      <c r="V133" s="351"/>
      <c r="W133" s="188"/>
      <c r="X133" s="190"/>
      <c r="Y133" s="179"/>
    </row>
    <row r="134" spans="1:25" s="8" customFormat="1" ht="38.25">
      <c r="A134" s="73" t="s">
        <v>148</v>
      </c>
      <c r="B134" s="330" t="s">
        <v>251</v>
      </c>
      <c r="C134" s="186">
        <v>0</v>
      </c>
      <c r="D134" s="186">
        <v>0</v>
      </c>
      <c r="E134" s="215">
        <v>0</v>
      </c>
      <c r="F134" s="215">
        <v>0</v>
      </c>
      <c r="G134" s="317">
        <v>0</v>
      </c>
      <c r="H134" s="186">
        <v>0</v>
      </c>
      <c r="I134" s="186">
        <v>0</v>
      </c>
      <c r="J134" s="186">
        <v>0</v>
      </c>
      <c r="K134" s="186">
        <v>0</v>
      </c>
      <c r="L134" s="205">
        <v>0</v>
      </c>
      <c r="M134" s="215">
        <v>0</v>
      </c>
      <c r="N134" s="224">
        <v>0</v>
      </c>
      <c r="O134" s="234">
        <v>0</v>
      </c>
      <c r="P134" s="241">
        <v>0</v>
      </c>
      <c r="Q134" s="263">
        <v>0</v>
      </c>
      <c r="R134" s="332">
        <v>0</v>
      </c>
      <c r="S134" s="185" t="s">
        <v>251</v>
      </c>
      <c r="T134" s="71" t="s">
        <v>252</v>
      </c>
      <c r="U134" s="283" t="s">
        <v>253</v>
      </c>
      <c r="V134" s="42">
        <v>42916</v>
      </c>
      <c r="W134" s="198"/>
      <c r="X134" s="86" t="s">
        <v>254</v>
      </c>
      <c r="Y134" s="179"/>
    </row>
    <row r="135" spans="1:25" s="8" customFormat="1" ht="38.25">
      <c r="A135" s="73" t="s">
        <v>262</v>
      </c>
      <c r="B135" s="325" t="s">
        <v>255</v>
      </c>
      <c r="C135" s="186">
        <v>0</v>
      </c>
      <c r="D135" s="332">
        <f>R135</f>
        <v>6649.7</v>
      </c>
      <c r="E135" s="215">
        <v>0</v>
      </c>
      <c r="F135" s="215">
        <v>0</v>
      </c>
      <c r="G135" s="317">
        <v>0</v>
      </c>
      <c r="H135" s="186">
        <v>0</v>
      </c>
      <c r="I135" s="186">
        <v>0</v>
      </c>
      <c r="J135" s="186">
        <v>0</v>
      </c>
      <c r="K135" s="186">
        <v>0</v>
      </c>
      <c r="L135" s="205">
        <v>0</v>
      </c>
      <c r="M135" s="215">
        <v>0</v>
      </c>
      <c r="N135" s="224">
        <v>0</v>
      </c>
      <c r="O135" s="234">
        <v>0</v>
      </c>
      <c r="P135" s="241">
        <v>0</v>
      </c>
      <c r="Q135" s="263">
        <v>0</v>
      </c>
      <c r="R135" s="332">
        <v>6649.7</v>
      </c>
      <c r="S135" s="186" t="s">
        <v>255</v>
      </c>
      <c r="T135" s="71" t="s">
        <v>256</v>
      </c>
      <c r="U135" s="283" t="s">
        <v>257</v>
      </c>
      <c r="V135" s="42">
        <v>42325</v>
      </c>
      <c r="W135" s="198"/>
      <c r="X135" s="86" t="s">
        <v>288</v>
      </c>
      <c r="Y135" s="179"/>
    </row>
    <row r="136" spans="1:25" s="8" customFormat="1" ht="27.75" customHeight="1">
      <c r="A136" s="312" t="s">
        <v>263</v>
      </c>
      <c r="B136" s="313" t="s">
        <v>316</v>
      </c>
      <c r="C136" s="306">
        <v>0</v>
      </c>
      <c r="D136" s="306">
        <v>0</v>
      </c>
      <c r="E136" s="306">
        <v>0</v>
      </c>
      <c r="F136" s="306">
        <v>0</v>
      </c>
      <c r="G136" s="318">
        <v>0</v>
      </c>
      <c r="H136" s="306"/>
      <c r="I136" s="306"/>
      <c r="J136" s="306"/>
      <c r="K136" s="306"/>
      <c r="L136" s="306"/>
      <c r="M136" s="306"/>
      <c r="N136" s="306"/>
      <c r="O136" s="306"/>
      <c r="P136" s="306"/>
      <c r="Q136" s="306">
        <v>0</v>
      </c>
      <c r="R136" s="336">
        <v>0</v>
      </c>
      <c r="S136" s="313" t="s">
        <v>316</v>
      </c>
      <c r="T136" s="16" t="s">
        <v>311</v>
      </c>
      <c r="U136" s="21" t="s">
        <v>312</v>
      </c>
      <c r="V136" s="22">
        <v>42944</v>
      </c>
      <c r="W136" s="22"/>
      <c r="X136" s="314" t="s">
        <v>317</v>
      </c>
      <c r="Y136" s="307"/>
    </row>
    <row r="137" spans="1:25" s="8" customFormat="1" ht="30">
      <c r="A137" s="73" t="s">
        <v>264</v>
      </c>
      <c r="B137" s="325" t="s">
        <v>447</v>
      </c>
      <c r="C137" s="325">
        <v>0</v>
      </c>
      <c r="D137" s="332">
        <f>R137</f>
        <v>12213.4</v>
      </c>
      <c r="E137" s="325">
        <v>0</v>
      </c>
      <c r="F137" s="325">
        <v>0</v>
      </c>
      <c r="G137" s="325">
        <v>0</v>
      </c>
      <c r="H137" s="325">
        <v>0</v>
      </c>
      <c r="I137" s="325">
        <v>0</v>
      </c>
      <c r="J137" s="325">
        <v>0</v>
      </c>
      <c r="K137" s="325">
        <v>0</v>
      </c>
      <c r="L137" s="325">
        <v>0</v>
      </c>
      <c r="M137" s="325">
        <v>0</v>
      </c>
      <c r="N137" s="325">
        <v>0</v>
      </c>
      <c r="O137" s="325">
        <v>0</v>
      </c>
      <c r="P137" s="325">
        <v>0</v>
      </c>
      <c r="Q137" s="325">
        <v>0</v>
      </c>
      <c r="R137" s="332">
        <v>12213.4</v>
      </c>
      <c r="S137" s="325" t="s">
        <v>447</v>
      </c>
      <c r="T137" s="71" t="s">
        <v>446</v>
      </c>
      <c r="U137" s="283" t="s">
        <v>444</v>
      </c>
      <c r="V137" s="42">
        <v>43122</v>
      </c>
      <c r="W137" s="324"/>
      <c r="X137" s="314" t="s">
        <v>445</v>
      </c>
      <c r="Y137" s="329"/>
    </row>
    <row r="138" spans="1:25" s="8" customFormat="1" ht="40.5" customHeight="1" thickBot="1">
      <c r="A138" s="312" t="s">
        <v>313</v>
      </c>
      <c r="B138" s="313" t="s">
        <v>448</v>
      </c>
      <c r="C138" s="323">
        <v>0</v>
      </c>
      <c r="D138" s="336">
        <f>R138</f>
        <v>26738.9</v>
      </c>
      <c r="E138" s="323">
        <v>0</v>
      </c>
      <c r="F138" s="323">
        <v>0</v>
      </c>
      <c r="G138" s="323">
        <v>0</v>
      </c>
      <c r="H138" s="323"/>
      <c r="I138" s="323"/>
      <c r="J138" s="323"/>
      <c r="K138" s="323"/>
      <c r="L138" s="323"/>
      <c r="M138" s="323"/>
      <c r="N138" s="323"/>
      <c r="O138" s="323"/>
      <c r="P138" s="323"/>
      <c r="Q138" s="323">
        <v>0</v>
      </c>
      <c r="R138" s="336">
        <v>26738.9</v>
      </c>
      <c r="S138" s="313" t="s">
        <v>448</v>
      </c>
      <c r="T138" s="71" t="s">
        <v>441</v>
      </c>
      <c r="U138" s="283" t="s">
        <v>442</v>
      </c>
      <c r="V138" s="42">
        <v>42943</v>
      </c>
      <c r="W138" s="324"/>
      <c r="X138" s="314" t="s">
        <v>443</v>
      </c>
      <c r="Y138" s="329"/>
    </row>
    <row r="139" spans="1:25" s="78" customFormat="1" ht="24.75" customHeight="1" thickBot="1">
      <c r="A139" s="130" t="s">
        <v>299</v>
      </c>
      <c r="B139" s="131" t="s">
        <v>300</v>
      </c>
      <c r="C139" s="138">
        <f aca="true" t="shared" si="13" ref="C139:H139">C126+C87+C43+C38+C28+C16+C10</f>
        <v>0</v>
      </c>
      <c r="D139" s="203">
        <f t="shared" si="13"/>
        <v>240834.85000000003</v>
      </c>
      <c r="E139" s="203">
        <f t="shared" si="13"/>
        <v>46788.85</v>
      </c>
      <c r="F139" s="203">
        <f t="shared" si="13"/>
        <v>45369.4</v>
      </c>
      <c r="G139" s="203">
        <f t="shared" si="13"/>
        <v>46162.6</v>
      </c>
      <c r="H139" s="132">
        <f t="shared" si="13"/>
        <v>652</v>
      </c>
      <c r="I139" s="203">
        <f>I10+I16+I28+I38+I43+I87+I126</f>
        <v>12181.800000000001</v>
      </c>
      <c r="J139" s="203">
        <f>J10+J16+J28+J38+J43+J87+J126</f>
        <v>12329.800000000001</v>
      </c>
      <c r="K139" s="203">
        <f>K10+K16+K28+K38+K43+K87+K126</f>
        <v>11883.15</v>
      </c>
      <c r="L139" s="203">
        <f>L10+L16+L28+L38+L43+L87+L126</f>
        <v>9742.099999999999</v>
      </c>
      <c r="M139" s="203">
        <f aca="true" t="shared" si="14" ref="M139:R139">M126+M87+M43+M38+M28+M16+M10</f>
        <v>3044.8</v>
      </c>
      <c r="N139" s="203">
        <f t="shared" si="14"/>
        <v>12072.099999999999</v>
      </c>
      <c r="O139" s="203">
        <f t="shared" si="14"/>
        <v>9550.7</v>
      </c>
      <c r="P139" s="203">
        <f t="shared" si="14"/>
        <v>12626.8</v>
      </c>
      <c r="Q139" s="203">
        <f t="shared" si="14"/>
        <v>8075</v>
      </c>
      <c r="R139" s="203">
        <f t="shared" si="14"/>
        <v>102513.99999999999</v>
      </c>
      <c r="S139" s="131" t="s">
        <v>299</v>
      </c>
      <c r="T139" s="133" t="s">
        <v>299</v>
      </c>
      <c r="U139" s="134" t="s">
        <v>299</v>
      </c>
      <c r="V139" s="134" t="s">
        <v>299</v>
      </c>
      <c r="W139" s="134" t="s">
        <v>299</v>
      </c>
      <c r="X139" s="135" t="s">
        <v>299</v>
      </c>
      <c r="Y139" s="77"/>
    </row>
    <row r="140" spans="2:19" ht="39" customHeight="1">
      <c r="B140" s="4" t="s">
        <v>7</v>
      </c>
      <c r="H140" s="6" t="s">
        <v>290</v>
      </c>
      <c r="R140" s="339"/>
      <c r="S140" s="6"/>
    </row>
    <row r="141" spans="3:18" ht="15">
      <c r="C141" s="380" t="s">
        <v>6</v>
      </c>
      <c r="D141" s="380"/>
      <c r="E141" s="216"/>
      <c r="F141" s="216"/>
      <c r="G141" s="319"/>
      <c r="H141" s="191"/>
      <c r="I141" s="191"/>
      <c r="J141" s="191"/>
      <c r="K141" s="191"/>
      <c r="L141" s="207"/>
      <c r="M141" s="216"/>
      <c r="N141" s="227"/>
      <c r="O141" s="235"/>
      <c r="P141" s="242"/>
      <c r="Q141" s="267"/>
      <c r="R141" s="340"/>
    </row>
    <row r="142" spans="4:18" ht="1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38"/>
      <c r="O142" s="238"/>
      <c r="P142" s="238"/>
      <c r="Q142" s="238"/>
      <c r="R142" s="6"/>
    </row>
    <row r="143" spans="4:18" ht="1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4:18" ht="1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4:18" ht="1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4:18" ht="1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4:18" ht="1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4:18" ht="1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4:18" ht="1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4:18" ht="1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4:18" ht="1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4:18" ht="1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4:18" ht="1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4:18" ht="1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4:18" ht="1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4:18" ht="1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4:18" ht="1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4:18" ht="1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4:18" ht="1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4:18" ht="1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4:18" ht="1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4:18" ht="1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4:18" ht="1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4:18" ht="1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4:18" ht="1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4:18" ht="1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4:18" ht="1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4:18" ht="1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4:18" ht="1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4:18" ht="1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4:18" ht="1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4:18" ht="1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4:18" ht="1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</sheetData>
  <sheetProtection/>
  <autoFilter ref="A7:X141"/>
  <mergeCells count="269">
    <mergeCell ref="G93:G94"/>
    <mergeCell ref="G100:G102"/>
    <mergeCell ref="G111:G112"/>
    <mergeCell ref="G113:G114"/>
    <mergeCell ref="G116:G117"/>
    <mergeCell ref="G127:G131"/>
    <mergeCell ref="G52:G54"/>
    <mergeCell ref="G55:G56"/>
    <mergeCell ref="G57:G58"/>
    <mergeCell ref="G63:G64"/>
    <mergeCell ref="G89:G90"/>
    <mergeCell ref="L63:L64"/>
    <mergeCell ref="L57:L58"/>
    <mergeCell ref="J55:J56"/>
    <mergeCell ref="L55:L56"/>
    <mergeCell ref="M63:M64"/>
    <mergeCell ref="N63:N64"/>
    <mergeCell ref="O63:O64"/>
    <mergeCell ref="A97:A98"/>
    <mergeCell ref="H63:H64"/>
    <mergeCell ref="I63:I64"/>
    <mergeCell ref="J63:J64"/>
    <mergeCell ref="K63:K64"/>
    <mergeCell ref="A89:A90"/>
    <mergeCell ref="L89:L90"/>
    <mergeCell ref="Q100:Q102"/>
    <mergeCell ref="Q111:Q112"/>
    <mergeCell ref="Q113:Q114"/>
    <mergeCell ref="Q116:Q117"/>
    <mergeCell ref="Q127:Q131"/>
    <mergeCell ref="Q132:Q133"/>
    <mergeCell ref="Q52:Q54"/>
    <mergeCell ref="Q55:Q56"/>
    <mergeCell ref="Q57:Q58"/>
    <mergeCell ref="Q63:Q64"/>
    <mergeCell ref="Q89:Q90"/>
    <mergeCell ref="Q93:Q94"/>
    <mergeCell ref="P113:P114"/>
    <mergeCell ref="P116:P117"/>
    <mergeCell ref="P127:P131"/>
    <mergeCell ref="P132:P133"/>
    <mergeCell ref="P55:P56"/>
    <mergeCell ref="P57:P58"/>
    <mergeCell ref="P89:P90"/>
    <mergeCell ref="P93:P94"/>
    <mergeCell ref="P100:P102"/>
    <mergeCell ref="P111:P112"/>
    <mergeCell ref="N52:N54"/>
    <mergeCell ref="N55:N56"/>
    <mergeCell ref="N57:N58"/>
    <mergeCell ref="N89:N90"/>
    <mergeCell ref="N93:N94"/>
    <mergeCell ref="N100:N102"/>
    <mergeCell ref="J132:J133"/>
    <mergeCell ref="I127:I131"/>
    <mergeCell ref="I116:I117"/>
    <mergeCell ref="J116:J117"/>
    <mergeCell ref="J127:J131"/>
    <mergeCell ref="N116:N117"/>
    <mergeCell ref="N127:N131"/>
    <mergeCell ref="N132:N133"/>
    <mergeCell ref="L116:L117"/>
    <mergeCell ref="J93:J94"/>
    <mergeCell ref="K57:K58"/>
    <mergeCell ref="K89:K90"/>
    <mergeCell ref="K93:K94"/>
    <mergeCell ref="L113:L114"/>
    <mergeCell ref="L111:L112"/>
    <mergeCell ref="I93:I94"/>
    <mergeCell ref="J57:J58"/>
    <mergeCell ref="J89:J90"/>
    <mergeCell ref="J111:J112"/>
    <mergeCell ref="L93:L94"/>
    <mergeCell ref="L100:L102"/>
    <mergeCell ref="T30:T31"/>
    <mergeCell ref="U30:U31"/>
    <mergeCell ref="V30:V31"/>
    <mergeCell ref="W30:W31"/>
    <mergeCell ref="X30:X31"/>
    <mergeCell ref="H52:H54"/>
    <mergeCell ref="I52:I54"/>
    <mergeCell ref="P52:P54"/>
    <mergeCell ref="L52:L54"/>
    <mergeCell ref="T34:T35"/>
    <mergeCell ref="B2:X2"/>
    <mergeCell ref="B3:X3"/>
    <mergeCell ref="B4:X4"/>
    <mergeCell ref="B5:X5"/>
    <mergeCell ref="B7:B8"/>
    <mergeCell ref="C7:C8"/>
    <mergeCell ref="S7:S8"/>
    <mergeCell ref="T7:T8"/>
    <mergeCell ref="W7:W8"/>
    <mergeCell ref="X7:X8"/>
    <mergeCell ref="U7:U8"/>
    <mergeCell ref="V7:V8"/>
    <mergeCell ref="S55:S56"/>
    <mergeCell ref="S52:S54"/>
    <mergeCell ref="S13:S15"/>
    <mergeCell ref="U13:X15"/>
    <mergeCell ref="S16:S27"/>
    <mergeCell ref="U18:X27"/>
    <mergeCell ref="T32:T33"/>
    <mergeCell ref="U32:U33"/>
    <mergeCell ref="A55:A56"/>
    <mergeCell ref="B55:B56"/>
    <mergeCell ref="C55:C56"/>
    <mergeCell ref="D55:D56"/>
    <mergeCell ref="A52:A54"/>
    <mergeCell ref="B52:B54"/>
    <mergeCell ref="C52:C54"/>
    <mergeCell ref="D52:D54"/>
    <mergeCell ref="B89:B90"/>
    <mergeCell ref="C89:C90"/>
    <mergeCell ref="D89:D90"/>
    <mergeCell ref="A57:A58"/>
    <mergeCell ref="B57:B58"/>
    <mergeCell ref="C57:C58"/>
    <mergeCell ref="D57:D58"/>
    <mergeCell ref="A93:A94"/>
    <mergeCell ref="B93:B94"/>
    <mergeCell ref="C93:C94"/>
    <mergeCell ref="D93:D94"/>
    <mergeCell ref="I100:I102"/>
    <mergeCell ref="S89:S90"/>
    <mergeCell ref="H89:H90"/>
    <mergeCell ref="H93:H94"/>
    <mergeCell ref="H100:H102"/>
    <mergeCell ref="S100:S102"/>
    <mergeCell ref="A111:A112"/>
    <mergeCell ref="B111:B112"/>
    <mergeCell ref="C111:C112"/>
    <mergeCell ref="D111:D112"/>
    <mergeCell ref="S93:S94"/>
    <mergeCell ref="A100:A102"/>
    <mergeCell ref="B100:B102"/>
    <mergeCell ref="C100:C102"/>
    <mergeCell ref="D100:D102"/>
    <mergeCell ref="K100:K102"/>
    <mergeCell ref="A116:A117"/>
    <mergeCell ref="B116:B117"/>
    <mergeCell ref="C116:C117"/>
    <mergeCell ref="D116:D117"/>
    <mergeCell ref="S111:S112"/>
    <mergeCell ref="A113:A114"/>
    <mergeCell ref="B113:B114"/>
    <mergeCell ref="C113:C114"/>
    <mergeCell ref="D113:D114"/>
    <mergeCell ref="H111:H112"/>
    <mergeCell ref="A127:A131"/>
    <mergeCell ref="C127:C131"/>
    <mergeCell ref="S127:S131"/>
    <mergeCell ref="I132:I133"/>
    <mergeCell ref="K132:K133"/>
    <mergeCell ref="K127:K131"/>
    <mergeCell ref="M132:M133"/>
    <mergeCell ref="L127:L131"/>
    <mergeCell ref="L132:L133"/>
    <mergeCell ref="H127:H131"/>
    <mergeCell ref="S132:S133"/>
    <mergeCell ref="U132:U133"/>
    <mergeCell ref="V132:V133"/>
    <mergeCell ref="U127:U131"/>
    <mergeCell ref="V127:V131"/>
    <mergeCell ref="C141:D141"/>
    <mergeCell ref="D127:D131"/>
    <mergeCell ref="E127:E131"/>
    <mergeCell ref="F127:F131"/>
    <mergeCell ref="M127:M131"/>
    <mergeCell ref="S116:S117"/>
    <mergeCell ref="S113:S114"/>
    <mergeCell ref="K111:K112"/>
    <mergeCell ref="K113:K114"/>
    <mergeCell ref="K116:K117"/>
    <mergeCell ref="S57:S58"/>
    <mergeCell ref="N111:N112"/>
    <mergeCell ref="O100:O102"/>
    <mergeCell ref="M57:M58"/>
    <mergeCell ref="O111:O112"/>
    <mergeCell ref="M111:M112"/>
    <mergeCell ref="M116:M117"/>
    <mergeCell ref="F100:F102"/>
    <mergeCell ref="F93:F94"/>
    <mergeCell ref="F113:F114"/>
    <mergeCell ref="F116:F117"/>
    <mergeCell ref="F111:F112"/>
    <mergeCell ref="M100:M102"/>
    <mergeCell ref="H113:H114"/>
    <mergeCell ref="H116:H117"/>
    <mergeCell ref="E52:E54"/>
    <mergeCell ref="E55:E56"/>
    <mergeCell ref="E57:E58"/>
    <mergeCell ref="E111:E112"/>
    <mergeCell ref="E113:E114"/>
    <mergeCell ref="E116:E117"/>
    <mergeCell ref="E89:E90"/>
    <mergeCell ref="E93:E94"/>
    <mergeCell ref="E100:E102"/>
    <mergeCell ref="I113:I114"/>
    <mergeCell ref="J100:J102"/>
    <mergeCell ref="J113:J114"/>
    <mergeCell ref="F52:F54"/>
    <mergeCell ref="F55:F56"/>
    <mergeCell ref="F57:F58"/>
    <mergeCell ref="F89:F90"/>
    <mergeCell ref="I55:I56"/>
    <mergeCell ref="I111:I112"/>
    <mergeCell ref="I89:I90"/>
    <mergeCell ref="M93:M94"/>
    <mergeCell ref="M89:M90"/>
    <mergeCell ref="K52:K54"/>
    <mergeCell ref="K55:K56"/>
    <mergeCell ref="H57:H58"/>
    <mergeCell ref="H55:H56"/>
    <mergeCell ref="M52:M54"/>
    <mergeCell ref="M55:M56"/>
    <mergeCell ref="I57:I58"/>
    <mergeCell ref="J52:J54"/>
    <mergeCell ref="O132:O133"/>
    <mergeCell ref="O52:O54"/>
    <mergeCell ref="O55:O56"/>
    <mergeCell ref="O57:O58"/>
    <mergeCell ref="O89:O90"/>
    <mergeCell ref="O93:O94"/>
    <mergeCell ref="U34:U35"/>
    <mergeCell ref="V32:V33"/>
    <mergeCell ref="V34:V35"/>
    <mergeCell ref="B63:B64"/>
    <mergeCell ref="A63:A64"/>
    <mergeCell ref="C63:C64"/>
    <mergeCell ref="D63:D64"/>
    <mergeCell ref="E63:E64"/>
    <mergeCell ref="F63:F64"/>
    <mergeCell ref="P63:P64"/>
    <mergeCell ref="V113:V114"/>
    <mergeCell ref="W113:W114"/>
    <mergeCell ref="X113:X114"/>
    <mergeCell ref="S63:S64"/>
    <mergeCell ref="T55:T56"/>
    <mergeCell ref="U55:U56"/>
    <mergeCell ref="V55:V56"/>
    <mergeCell ref="W55:W56"/>
    <mergeCell ref="X55:X56"/>
    <mergeCell ref="T127:T129"/>
    <mergeCell ref="W127:W131"/>
    <mergeCell ref="X127:X131"/>
    <mergeCell ref="T100:T102"/>
    <mergeCell ref="U100:U102"/>
    <mergeCell ref="V100:V102"/>
    <mergeCell ref="W100:W102"/>
    <mergeCell ref="X100:X102"/>
    <mergeCell ref="T113:T114"/>
    <mergeCell ref="U113:U114"/>
    <mergeCell ref="R52:R54"/>
    <mergeCell ref="R55:R56"/>
    <mergeCell ref="R57:R58"/>
    <mergeCell ref="R63:R64"/>
    <mergeCell ref="R89:R90"/>
    <mergeCell ref="R93:R94"/>
    <mergeCell ref="B132:B133"/>
    <mergeCell ref="R100:R102"/>
    <mergeCell ref="R111:R112"/>
    <mergeCell ref="R113:R114"/>
    <mergeCell ref="R116:R117"/>
    <mergeCell ref="R127:R129"/>
    <mergeCell ref="B127:B131"/>
    <mergeCell ref="O113:O114"/>
    <mergeCell ref="O116:O117"/>
    <mergeCell ref="O127:O13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Nastas Ecaterina</cp:lastModifiedBy>
  <cp:lastPrinted>2018-01-26T09:23:31Z</cp:lastPrinted>
  <dcterms:created xsi:type="dcterms:W3CDTF">2017-11-17T15:26:20Z</dcterms:created>
  <dcterms:modified xsi:type="dcterms:W3CDTF">2018-05-11T08:54:25Z</dcterms:modified>
  <cp:category/>
  <cp:version/>
  <cp:contentType/>
  <cp:contentStatus/>
</cp:coreProperties>
</file>